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ruma6\mpo16.darumatech.com\images\WhatWeDo\LRTP\"/>
    </mc:Choice>
  </mc:AlternateContent>
  <bookViews>
    <workbookView xWindow="120" yWindow="60" windowWidth="24915" windowHeight="12840" tabRatio="875"/>
  </bookViews>
  <sheets>
    <sheet name="Data-Projects" sheetId="1" r:id="rId1"/>
    <sheet name="Data-Projects-Table" sheetId="27" r:id="rId2"/>
    <sheet name="Data-Projects-Comments" sheetId="28" r:id="rId3"/>
    <sheet name="Analysis-Trans2035" sheetId="8" r:id="rId4"/>
    <sheet name="Analysis-OtherPlans" sheetId="2" r:id="rId5"/>
    <sheet name="Analysis-Transit-ProDev" sheetId="15" r:id="rId6"/>
    <sheet name="Analysis-RoadwayImpact" sheetId="16" r:id="rId7"/>
    <sheet name="Analysis-EJ" sheetId="3" r:id="rId8"/>
    <sheet name="Analysis-Goals" sheetId="13" r:id="rId9"/>
    <sheet name="Analysis-ByType-All" sheetId="24" r:id="rId10"/>
    <sheet name="Analysis-ByPeriod-All" sheetId="26" r:id="rId11"/>
    <sheet name="Chart-Trans2035-Projects" sheetId="9" r:id="rId12"/>
    <sheet name="Chart-OtherPlans-Projects" sheetId="5" r:id="rId13"/>
    <sheet name="Chart-TransitProjDev" sheetId="17" r:id="rId14"/>
    <sheet name="Chart-RoadwayImpact-02" sheetId="19" r:id="rId15"/>
    <sheet name="Chart-RoadwayImpact-03" sheetId="20" r:id="rId16"/>
    <sheet name="Chart-EJ" sheetId="23" r:id="rId17"/>
    <sheet name="Chart-Goals-Investment" sheetId="21" r:id="rId18"/>
    <sheet name="Chart-ByType-All" sheetId="25" r:id="rId19"/>
    <sheet name="Chart-OtherPlans-Invest" sheetId="4" r:id="rId20"/>
    <sheet name="Chart-Trans2035-Invest" sheetId="10" r:id="rId21"/>
    <sheet name="Chart-Goals-Projects" sheetId="14" r:id="rId22"/>
    <sheet name="Chart-RoadwayImpact-01" sheetId="18" r:id="rId23"/>
  </sheets>
  <definedNames>
    <definedName name="_xlnm._FilterDatabase" localSheetId="0" hidden="1">'Data-Projects'!$A$2:$AI$53</definedName>
    <definedName name="_xlnm._FilterDatabase" localSheetId="2" hidden="1">'Data-Projects-Comments'!$A$5:$AJ$56</definedName>
    <definedName name="_xlnm._FilterDatabase" localSheetId="1" hidden="1">'Data-Projects-Table'!$A$4:$AG$55</definedName>
    <definedName name="_ftn1" localSheetId="0">'Data-Projects'!#REF!</definedName>
    <definedName name="_ftn1" localSheetId="2">'Data-Projects-Comments'!#REF!</definedName>
    <definedName name="_ftn1" localSheetId="1">'Data-Projects-Table'!#REF!</definedName>
    <definedName name="_ftn2" localSheetId="0">'Data-Projects'!#REF!</definedName>
    <definedName name="_ftn2" localSheetId="2">'Data-Projects-Comments'!#REF!</definedName>
    <definedName name="_ftn2" localSheetId="1">'Data-Projects-Table'!#REF!</definedName>
    <definedName name="_ftn3" localSheetId="0">'Data-Projects'!#REF!</definedName>
    <definedName name="_ftn3" localSheetId="2">'Data-Projects-Comments'!#REF!</definedName>
    <definedName name="_ftn3" localSheetId="1">'Data-Projects-Table'!#REF!</definedName>
    <definedName name="_ftn4" localSheetId="0">'Data-Projects'!#REF!</definedName>
    <definedName name="_ftn4" localSheetId="2">'Data-Projects-Comments'!#REF!</definedName>
    <definedName name="_ftn4" localSheetId="1">'Data-Projects-Table'!#REF!</definedName>
    <definedName name="_ftnref1" localSheetId="0">'Data-Projects'!#REF!</definedName>
    <definedName name="_ftnref1" localSheetId="2">'Data-Projects-Comments'!#REF!</definedName>
    <definedName name="_ftnref1" localSheetId="1">'Data-Projects-Table'!#REF!</definedName>
    <definedName name="_ftnref2" localSheetId="0">'Data-Projects'!#REF!</definedName>
    <definedName name="_ftnref2" localSheetId="2">'Data-Projects-Comments'!#REF!</definedName>
    <definedName name="_ftnref2" localSheetId="1">'Data-Projects-Table'!#REF!</definedName>
    <definedName name="_ftnref3" localSheetId="0">'Data-Projects'!#REF!</definedName>
    <definedName name="_ftnref3" localSheetId="2">'Data-Projects-Comments'!#REF!</definedName>
    <definedName name="_ftnref3" localSheetId="1">'Data-Projects-Table'!#REF!</definedName>
    <definedName name="_ftnref4" localSheetId="0">'Data-Projects'!#REF!</definedName>
    <definedName name="_ftnref4" localSheetId="2">'Data-Projects-Comments'!#REF!</definedName>
    <definedName name="_ftnref4" localSheetId="1">'Data-Projects-Table'!#REF!</definedName>
    <definedName name="_xlnm.Print_Area" localSheetId="10">'Analysis-ByPeriod-All'!$A$1:$E$20</definedName>
    <definedName name="_xlnm.Print_Area" localSheetId="9">'Analysis-ByType-All'!$A$1:$E$18</definedName>
    <definedName name="_xlnm.Print_Area" localSheetId="7">'Analysis-EJ'!$A$1:$E$41</definedName>
    <definedName name="_xlnm.Print_Area" localSheetId="8">'Analysis-Goals'!$A$1:$F$40</definedName>
    <definedName name="_xlnm.Print_Area" localSheetId="4">'Analysis-OtherPlans'!$A$1:$E$44</definedName>
    <definedName name="_xlnm.Print_Area" localSheetId="6">'Analysis-RoadwayImpact'!$A$1:$E$19</definedName>
    <definedName name="_xlnm.Print_Area" localSheetId="3">'Analysis-Trans2035'!$A$1:$E$43</definedName>
    <definedName name="_xlnm.Print_Area" localSheetId="5">'Analysis-Transit-ProDev'!$A$1:$E$18</definedName>
    <definedName name="_xlnm.Print_Area" localSheetId="0">'Data-Projects'!$A$1:$G$53</definedName>
    <definedName name="_xlnm.Print_Area" localSheetId="2">'Data-Projects-Comments'!$B$1:$L$58</definedName>
    <definedName name="_xlnm.Print_Area" localSheetId="1">'Data-Projects-Table'!$B$1:$I$60</definedName>
  </definedNames>
  <calcPr calcId="152511"/>
</workbook>
</file>

<file path=xl/calcChain.xml><?xml version="1.0" encoding="utf-8"?>
<calcChain xmlns="http://schemas.openxmlformats.org/spreadsheetml/2006/main">
  <c r="N25" i="1" l="1"/>
  <c r="M25" i="1"/>
  <c r="N24" i="1"/>
  <c r="M24" i="1"/>
  <c r="N23" i="1"/>
  <c r="M23" i="1"/>
  <c r="N22" i="1"/>
  <c r="M22" i="1"/>
  <c r="N17" i="1"/>
  <c r="M17" i="1"/>
  <c r="N16" i="1"/>
  <c r="M16" i="1"/>
  <c r="N15" i="1"/>
  <c r="M15" i="1"/>
  <c r="N14" i="1"/>
  <c r="M14" i="1"/>
  <c r="N3" i="1"/>
  <c r="M3" i="1"/>
  <c r="H57" i="28" l="1"/>
  <c r="G57" i="28"/>
  <c r="K48" i="28"/>
  <c r="K47" i="28"/>
  <c r="K36" i="28"/>
  <c r="K28" i="28"/>
  <c r="K27" i="28"/>
  <c r="K26" i="28"/>
  <c r="K25" i="28"/>
  <c r="K21" i="28"/>
  <c r="K20" i="28"/>
  <c r="K19" i="28"/>
  <c r="K18" i="28"/>
  <c r="K17" i="28"/>
  <c r="K16" i="28"/>
  <c r="K15" i="28"/>
  <c r="H47" i="27" l="1"/>
  <c r="H46" i="27"/>
  <c r="H35" i="27"/>
  <c r="H27" i="27"/>
  <c r="H26" i="27"/>
  <c r="H25" i="27"/>
  <c r="H24" i="27"/>
  <c r="H20" i="27"/>
  <c r="H19" i="27"/>
  <c r="H18" i="27"/>
  <c r="H17" i="27"/>
  <c r="H16" i="27"/>
  <c r="H15" i="27"/>
  <c r="H14" i="27"/>
  <c r="D15" i="26" l="1"/>
  <c r="B15" i="26"/>
  <c r="K16" i="26"/>
  <c r="K17" i="26"/>
  <c r="J16" i="26"/>
  <c r="J17" i="26"/>
  <c r="I16" i="26"/>
  <c r="I17" i="26"/>
  <c r="I18" i="26"/>
  <c r="I15" i="26"/>
  <c r="D18" i="26"/>
  <c r="D19" i="26" s="1"/>
  <c r="B18" i="26"/>
  <c r="D16" i="24"/>
  <c r="D15" i="24"/>
  <c r="B16" i="24"/>
  <c r="B15" i="24"/>
  <c r="D17" i="24" l="1"/>
  <c r="B17" i="24"/>
  <c r="C15" i="24" s="1"/>
  <c r="B19" i="26"/>
  <c r="C18" i="26" s="1"/>
  <c r="J18" i="26" s="1"/>
  <c r="E18" i="26"/>
  <c r="K18" i="26" s="1"/>
  <c r="E15" i="26"/>
  <c r="C16" i="24"/>
  <c r="J16" i="24" s="1"/>
  <c r="E15" i="24"/>
  <c r="E16" i="24"/>
  <c r="K16" i="24" s="1"/>
  <c r="H33" i="1"/>
  <c r="C15" i="26" l="1"/>
  <c r="J15" i="26" s="1"/>
  <c r="E19" i="26"/>
  <c r="K15" i="26"/>
  <c r="E17" i="24"/>
  <c r="K15" i="24"/>
  <c r="J15" i="24"/>
  <c r="C17" i="24"/>
  <c r="E37" i="13"/>
  <c r="E36" i="13"/>
  <c r="E35" i="13"/>
  <c r="C39" i="13"/>
  <c r="C38" i="13"/>
  <c r="C37" i="13"/>
  <c r="C36" i="13"/>
  <c r="C35" i="13"/>
  <c r="E29" i="13"/>
  <c r="E28" i="13"/>
  <c r="E26" i="13"/>
  <c r="C29" i="13"/>
  <c r="C28" i="13"/>
  <c r="C27" i="13"/>
  <c r="C26" i="13"/>
  <c r="C25" i="13"/>
  <c r="E19" i="13"/>
  <c r="E17" i="13"/>
  <c r="E15" i="13"/>
  <c r="C19" i="13"/>
  <c r="C18" i="13"/>
  <c r="C17" i="13"/>
  <c r="C16" i="13"/>
  <c r="C15" i="13"/>
  <c r="D16" i="3"/>
  <c r="D15" i="3"/>
  <c r="B16" i="3"/>
  <c r="B15" i="3"/>
  <c r="D46" i="16"/>
  <c r="D45" i="16"/>
  <c r="D38" i="16"/>
  <c r="B38" i="16"/>
  <c r="B37" i="16"/>
  <c r="B36" i="16"/>
  <c r="D30" i="16"/>
  <c r="B30" i="16"/>
  <c r="B29" i="16"/>
  <c r="B23" i="16"/>
  <c r="B22" i="16"/>
  <c r="D15" i="16"/>
  <c r="B16" i="16"/>
  <c r="B15" i="16"/>
  <c r="B24" i="15"/>
  <c r="B22" i="15"/>
  <c r="B21" i="15"/>
  <c r="B16" i="15"/>
  <c r="B15" i="15"/>
  <c r="D41" i="2"/>
  <c r="D40" i="2"/>
  <c r="B41" i="2"/>
  <c r="B40" i="2"/>
  <c r="B39" i="2"/>
  <c r="D32" i="2"/>
  <c r="B33" i="2"/>
  <c r="B32" i="2"/>
  <c r="B31" i="2"/>
  <c r="D25" i="2"/>
  <c r="B25" i="2"/>
  <c r="B24" i="2"/>
  <c r="B23" i="2"/>
  <c r="D17" i="2"/>
  <c r="B17" i="2"/>
  <c r="B16" i="2"/>
  <c r="B15" i="2"/>
  <c r="D41" i="8"/>
  <c r="D40" i="8"/>
  <c r="B41" i="8"/>
  <c r="B40" i="8"/>
  <c r="B39" i="8"/>
  <c r="D33" i="8"/>
  <c r="B33" i="8"/>
  <c r="B32" i="8"/>
  <c r="B31" i="8"/>
  <c r="D25" i="8"/>
  <c r="D24" i="8"/>
  <c r="B25" i="8"/>
  <c r="B24" i="8"/>
  <c r="B23" i="8"/>
  <c r="D17" i="8"/>
  <c r="D15" i="8"/>
  <c r="B17" i="8"/>
  <c r="B16" i="8"/>
  <c r="B15" i="8"/>
  <c r="C19" i="26" l="1"/>
  <c r="B47" i="16"/>
  <c r="B46" i="16"/>
  <c r="B45" i="16"/>
  <c r="B44" i="16"/>
  <c r="I31" i="16" l="1"/>
  <c r="I32" i="16"/>
  <c r="I33" i="16"/>
  <c r="I30" i="16"/>
  <c r="J32" i="16"/>
  <c r="J31" i="16"/>
  <c r="B39" i="16" l="1"/>
  <c r="C38" i="16" s="1"/>
  <c r="L18" i="16" s="1"/>
  <c r="B48" i="16"/>
  <c r="C46" i="16" s="1"/>
  <c r="B24" i="16"/>
  <c r="C22" i="16" s="1"/>
  <c r="J16" i="16" s="1"/>
  <c r="B31" i="16"/>
  <c r="C30" i="16" s="1"/>
  <c r="K17" i="16" s="1"/>
  <c r="C45" i="16" l="1"/>
  <c r="C37" i="16"/>
  <c r="K18" i="16" s="1"/>
  <c r="C44" i="16"/>
  <c r="C47" i="16"/>
  <c r="C23" i="16"/>
  <c r="C36" i="16"/>
  <c r="C29" i="16"/>
  <c r="J17" i="16" s="1"/>
  <c r="C39" i="16" l="1"/>
  <c r="J18" i="16"/>
  <c r="C24" i="16"/>
  <c r="K16" i="16"/>
  <c r="B17" i="16" l="1"/>
  <c r="B17" i="15"/>
  <c r="C16" i="15" s="1"/>
  <c r="J16" i="15" s="1"/>
  <c r="C15" i="16" l="1"/>
  <c r="J15" i="16" s="1"/>
  <c r="C16" i="16"/>
  <c r="K15" i="16" s="1"/>
  <c r="C48" i="16"/>
  <c r="C31" i="16"/>
  <c r="C15" i="15"/>
  <c r="C40" i="13"/>
  <c r="C17" i="16" l="1"/>
  <c r="C17" i="15"/>
  <c r="J15" i="15"/>
  <c r="C20" i="13"/>
  <c r="C30" i="13"/>
  <c r="D27" i="13" l="1"/>
  <c r="M16" i="13" s="1"/>
  <c r="D37" i="13"/>
  <c r="M17" i="13" s="1"/>
  <c r="D15" i="13"/>
  <c r="K15" i="13" s="1"/>
  <c r="D18" i="13"/>
  <c r="N15" i="13" s="1"/>
  <c r="D25" i="13"/>
  <c r="K16" i="13" s="1"/>
  <c r="D35" i="13"/>
  <c r="K17" i="13" s="1"/>
  <c r="D38" i="13"/>
  <c r="N17" i="13" s="1"/>
  <c r="D36" i="13"/>
  <c r="L17" i="13" s="1"/>
  <c r="D39" i="13"/>
  <c r="O17" i="13" s="1"/>
  <c r="D29" i="13"/>
  <c r="O16" i="13" s="1"/>
  <c r="D26" i="13"/>
  <c r="L16" i="13" s="1"/>
  <c r="D16" i="13"/>
  <c r="L15" i="13" s="1"/>
  <c r="D19" i="13"/>
  <c r="O15" i="13" s="1"/>
  <c r="D28" i="13"/>
  <c r="N16" i="13" s="1"/>
  <c r="D17" i="13"/>
  <c r="M15" i="13" s="1"/>
  <c r="B26" i="8"/>
  <c r="C25" i="8" s="1"/>
  <c r="K17" i="8" s="1"/>
  <c r="B34" i="8"/>
  <c r="C31" i="8" s="1"/>
  <c r="B42" i="8"/>
  <c r="C40" i="8" s="1"/>
  <c r="J19" i="8" s="1"/>
  <c r="B18" i="8"/>
  <c r="C16" i="8" s="1"/>
  <c r="J16" i="8" s="1"/>
  <c r="B18" i="2"/>
  <c r="D40" i="13" l="1"/>
  <c r="D20" i="13"/>
  <c r="D30" i="13"/>
  <c r="C23" i="8"/>
  <c r="I17" i="8" s="1"/>
  <c r="C24" i="8"/>
  <c r="J17" i="8" s="1"/>
  <c r="C15" i="8"/>
  <c r="I16" i="8" s="1"/>
  <c r="C17" i="8"/>
  <c r="K16" i="8" s="1"/>
  <c r="I18" i="8"/>
  <c r="C41" i="8"/>
  <c r="K19" i="8" s="1"/>
  <c r="C39" i="8"/>
  <c r="C32" i="8"/>
  <c r="J18" i="8" s="1"/>
  <c r="C33" i="8"/>
  <c r="K18" i="8" s="1"/>
  <c r="C26" i="8" l="1"/>
  <c r="C18" i="8"/>
  <c r="C42" i="8"/>
  <c r="I19" i="8"/>
  <c r="C34" i="8"/>
  <c r="B17" i="3" l="1"/>
  <c r="B34" i="2"/>
  <c r="C33" i="2" s="1"/>
  <c r="K18" i="2" s="1"/>
  <c r="B42" i="2"/>
  <c r="C41" i="2" s="1"/>
  <c r="K19" i="2" s="1"/>
  <c r="B26" i="2"/>
  <c r="H25" i="1"/>
  <c r="H24" i="1"/>
  <c r="H23" i="1"/>
  <c r="H22" i="1"/>
  <c r="H17" i="1"/>
  <c r="H16" i="1"/>
  <c r="H15" i="1"/>
  <c r="H14" i="1"/>
  <c r="D23" i="16" l="1"/>
  <c r="D31" i="2"/>
  <c r="D37" i="16"/>
  <c r="C15" i="3"/>
  <c r="J15" i="3" s="1"/>
  <c r="C16" i="3"/>
  <c r="K15" i="3" s="1"/>
  <c r="C25" i="2"/>
  <c r="K17" i="2" s="1"/>
  <c r="C16" i="2"/>
  <c r="J16" i="2" s="1"/>
  <c r="C17" i="2"/>
  <c r="K16" i="2" s="1"/>
  <c r="C15" i="2"/>
  <c r="I16" i="2" s="1"/>
  <c r="C31" i="2"/>
  <c r="I18" i="2" s="1"/>
  <c r="C40" i="2"/>
  <c r="J19" i="2" s="1"/>
  <c r="C24" i="2"/>
  <c r="J17" i="2" s="1"/>
  <c r="C32" i="2"/>
  <c r="J18" i="2" s="1"/>
  <c r="C39" i="2"/>
  <c r="C23" i="2"/>
  <c r="H45" i="1"/>
  <c r="D47" i="16" s="1"/>
  <c r="H44" i="1"/>
  <c r="E27" i="13" s="1"/>
  <c r="H18" i="1"/>
  <c r="D16" i="15" s="1"/>
  <c r="H13" i="1"/>
  <c r="H12" i="1"/>
  <c r="E18" i="13" l="1"/>
  <c r="D23" i="8"/>
  <c r="D15" i="2"/>
  <c r="D16" i="16"/>
  <c r="E25" i="13"/>
  <c r="D39" i="2"/>
  <c r="D23" i="2"/>
  <c r="D31" i="8"/>
  <c r="D15" i="15"/>
  <c r="E38" i="13"/>
  <c r="E16" i="13"/>
  <c r="B23" i="15"/>
  <c r="D16" i="2"/>
  <c r="D16" i="8"/>
  <c r="D32" i="8"/>
  <c r="D24" i="2"/>
  <c r="D36" i="16"/>
  <c r="D33" i="2"/>
  <c r="D44" i="16"/>
  <c r="D22" i="16"/>
  <c r="D29" i="16"/>
  <c r="D31" i="16" s="1"/>
  <c r="E30" i="16" s="1"/>
  <c r="K24" i="16" s="1"/>
  <c r="D39" i="8"/>
  <c r="E39" i="13"/>
  <c r="B20" i="15"/>
  <c r="C17" i="3"/>
  <c r="D34" i="2"/>
  <c r="C18" i="2"/>
  <c r="C34" i="2"/>
  <c r="I19" i="2"/>
  <c r="C42" i="2"/>
  <c r="I17" i="2"/>
  <c r="C26" i="2"/>
  <c r="D18" i="2" l="1"/>
  <c r="E17" i="2" s="1"/>
  <c r="K25" i="2" s="1"/>
  <c r="E20" i="13"/>
  <c r="D26" i="8"/>
  <c r="E23" i="8" s="1"/>
  <c r="J33" i="16"/>
  <c r="D24" i="16"/>
  <c r="E23" i="16" s="1"/>
  <c r="K23" i="16" s="1"/>
  <c r="D39" i="16"/>
  <c r="D42" i="8"/>
  <c r="E39" i="8" s="1"/>
  <c r="E31" i="2"/>
  <c r="E32" i="2"/>
  <c r="J27" i="2" s="1"/>
  <c r="D42" i="2"/>
  <c r="E39" i="2" s="1"/>
  <c r="D34" i="8"/>
  <c r="D18" i="8"/>
  <c r="E40" i="13"/>
  <c r="E33" i="2"/>
  <c r="K27" i="2" s="1"/>
  <c r="J30" i="16"/>
  <c r="D48" i="16"/>
  <c r="D17" i="16"/>
  <c r="E15" i="16" s="1"/>
  <c r="D26" i="2"/>
  <c r="E25" i="2" s="1"/>
  <c r="K26" i="2" s="1"/>
  <c r="D17" i="3"/>
  <c r="E30" i="13"/>
  <c r="D17" i="15"/>
  <c r="E16" i="15" s="1"/>
  <c r="K16" i="15" s="1"/>
  <c r="E29" i="16"/>
  <c r="E15" i="2" l="1"/>
  <c r="I25" i="2" s="1"/>
  <c r="E15" i="3"/>
  <c r="E16" i="3"/>
  <c r="K16" i="3" s="1"/>
  <c r="E16" i="2"/>
  <c r="J25" i="2" s="1"/>
  <c r="E23" i="2"/>
  <c r="I26" i="2" s="1"/>
  <c r="E15" i="15"/>
  <c r="K15" i="15" s="1"/>
  <c r="E24" i="2"/>
  <c r="J26" i="2" s="1"/>
  <c r="F39" i="13"/>
  <c r="O27" i="13" s="1"/>
  <c r="F27" i="13"/>
  <c r="M26" i="13" s="1"/>
  <c r="F37" i="13"/>
  <c r="M27" i="13" s="1"/>
  <c r="F15" i="13"/>
  <c r="K25" i="13" s="1"/>
  <c r="F18" i="13"/>
  <c r="N25" i="13" s="1"/>
  <c r="F16" i="13"/>
  <c r="L25" i="13" s="1"/>
  <c r="F25" i="13"/>
  <c r="K26" i="13" s="1"/>
  <c r="F17" i="13"/>
  <c r="M25" i="13" s="1"/>
  <c r="F19" i="13"/>
  <c r="O25" i="13" s="1"/>
  <c r="F28" i="13"/>
  <c r="N26" i="13" s="1"/>
  <c r="F38" i="13"/>
  <c r="N27" i="13" s="1"/>
  <c r="J22" i="16"/>
  <c r="E46" i="16"/>
  <c r="E45" i="16"/>
  <c r="E17" i="8"/>
  <c r="K25" i="8" s="1"/>
  <c r="E15" i="8"/>
  <c r="I28" i="2"/>
  <c r="I28" i="8"/>
  <c r="E37" i="16"/>
  <c r="K25" i="16" s="1"/>
  <c r="E38" i="16"/>
  <c r="L25" i="16" s="1"/>
  <c r="E47" i="16"/>
  <c r="I26" i="8"/>
  <c r="J24" i="16"/>
  <c r="E31" i="16"/>
  <c r="F35" i="13"/>
  <c r="F36" i="13"/>
  <c r="L27" i="13" s="1"/>
  <c r="F26" i="13"/>
  <c r="L26" i="13" s="1"/>
  <c r="F29" i="13"/>
  <c r="O26" i="13" s="1"/>
  <c r="E16" i="16"/>
  <c r="K22" i="16" s="1"/>
  <c r="E44" i="16"/>
  <c r="E16" i="8"/>
  <c r="J25" i="8" s="1"/>
  <c r="E31" i="8"/>
  <c r="E33" i="8"/>
  <c r="K27" i="8" s="1"/>
  <c r="E40" i="2"/>
  <c r="J28" i="2" s="1"/>
  <c r="E41" i="2"/>
  <c r="K28" i="2" s="1"/>
  <c r="I27" i="2"/>
  <c r="E34" i="2"/>
  <c r="E40" i="8"/>
  <c r="J28" i="8" s="1"/>
  <c r="E41" i="8"/>
  <c r="K28" i="8" s="1"/>
  <c r="E32" i="8"/>
  <c r="J27" i="8" s="1"/>
  <c r="E36" i="16"/>
  <c r="E22" i="16"/>
  <c r="E25" i="8"/>
  <c r="K26" i="8" s="1"/>
  <c r="E24" i="8"/>
  <c r="J26" i="8" s="1"/>
  <c r="E17" i="3" l="1"/>
  <c r="E18" i="2"/>
  <c r="E26" i="2"/>
  <c r="E17" i="15"/>
  <c r="E48" i="16"/>
  <c r="F20" i="13"/>
  <c r="E24" i="16"/>
  <c r="J23" i="16"/>
  <c r="I27" i="8"/>
  <c r="E34" i="8"/>
  <c r="J16" i="3"/>
  <c r="K27" i="13"/>
  <c r="F40" i="13"/>
  <c r="E26" i="8"/>
  <c r="E42" i="8"/>
  <c r="E42" i="2"/>
  <c r="I25" i="8"/>
  <c r="E18" i="8"/>
  <c r="E17" i="16"/>
  <c r="F30" i="13"/>
  <c r="J25" i="16"/>
  <c r="E39" i="16"/>
</calcChain>
</file>

<file path=xl/comments1.xml><?xml version="1.0" encoding="utf-8"?>
<comments xmlns="http://schemas.openxmlformats.org/spreadsheetml/2006/main">
  <authors>
    <author>Todd A. Brauer</author>
  </authors>
  <commentList>
    <comment ref="Y1" authorId="0" shapeId="0">
      <text>
        <r>
          <rPr>
            <sz val="9"/>
            <color indexed="81"/>
            <rFont val="Tahoma"/>
            <family val="2"/>
          </rPr>
          <t xml:space="preserve">Based on input provided at the pubic (and board) workshops
</t>
        </r>
      </text>
    </comment>
    <comment ref="W2" authorId="0" shapeId="0">
      <text>
        <r>
          <rPr>
            <sz val="9"/>
            <color indexed="81"/>
            <rFont val="Tahoma"/>
            <family val="2"/>
          </rPr>
          <t xml:space="preserve">Will be examined based on results provided within SERPM 7.0 outputs.
</t>
        </r>
      </text>
    </comment>
  </commentList>
</comments>
</file>

<file path=xl/comments2.xml><?xml version="1.0" encoding="utf-8"?>
<comments xmlns="http://schemas.openxmlformats.org/spreadsheetml/2006/main">
  <authors>
    <author>Todd A. Brauer</author>
  </authors>
  <commentList>
    <comment ref="W2" authorId="0" shapeId="0">
      <text>
        <r>
          <rPr>
            <sz val="9"/>
            <color indexed="81"/>
            <rFont val="Tahoma"/>
            <family val="2"/>
          </rPr>
          <t xml:space="preserve">Based on input provided at the pubic (and board) workshops
</t>
        </r>
      </text>
    </comment>
    <comment ref="U4" authorId="0" shapeId="0">
      <text>
        <r>
          <rPr>
            <sz val="9"/>
            <color indexed="81"/>
            <rFont val="Tahoma"/>
            <family val="2"/>
          </rPr>
          <t xml:space="preserve">Will be examined based on results provided within SERPM 7.0 outputs.
</t>
        </r>
      </text>
    </comment>
  </commentList>
</comments>
</file>

<file path=xl/comments3.xml><?xml version="1.0" encoding="utf-8"?>
<comments xmlns="http://schemas.openxmlformats.org/spreadsheetml/2006/main">
  <authors>
    <author>Todd A. Brauer</author>
  </authors>
  <commentList>
    <comment ref="Z2" authorId="0" shapeId="0">
      <text>
        <r>
          <rPr>
            <sz val="9"/>
            <color indexed="81"/>
            <rFont val="Tahoma"/>
            <family val="2"/>
          </rPr>
          <t xml:space="preserve">Based on input provided at the pubic (and board) workshops
</t>
        </r>
      </text>
    </comment>
    <comment ref="X5" authorId="0" shapeId="0">
      <text>
        <r>
          <rPr>
            <sz val="9"/>
            <color indexed="81"/>
            <rFont val="Tahoma"/>
            <family val="2"/>
          </rPr>
          <t xml:space="preserve">Will be examined based on results provided within SERPM 7.0 outputs.
</t>
        </r>
      </text>
    </comment>
  </commentList>
</comments>
</file>

<file path=xl/sharedStrings.xml><?xml version="1.0" encoding="utf-8"?>
<sst xmlns="http://schemas.openxmlformats.org/spreadsheetml/2006/main" count="4384" uniqueCount="351">
  <si>
    <t>Project</t>
  </si>
  <si>
    <t>Description</t>
  </si>
  <si>
    <t>Location</t>
  </si>
  <si>
    <t>Construct new streetcar route</t>
  </si>
  <si>
    <t>Interchange Modification</t>
  </si>
  <si>
    <t>Reconstruct interchange, including improved turning radii at ramps</t>
  </si>
  <si>
    <t>Intersection Improvement</t>
  </si>
  <si>
    <t>Reconstruct intersection</t>
  </si>
  <si>
    <t>Add 2 lanes (from 4 to 6)</t>
  </si>
  <si>
    <t>Reconstruct roadway</t>
  </si>
  <si>
    <t>SR 7/US 441 and Oakland Park</t>
  </si>
  <si>
    <t>Pembroke Road</t>
  </si>
  <si>
    <t>SR A1A</t>
  </si>
  <si>
    <t>SR 858/Hallandale Beach to SR 820/Hollywood</t>
  </si>
  <si>
    <t>Add turn-lanes</t>
  </si>
  <si>
    <t>Wiles Road</t>
  </si>
  <si>
    <t>SR 7/US 441</t>
  </si>
  <si>
    <t>Construct new 4 lane roadway</t>
  </si>
  <si>
    <t>Construct new 2 lane roadway</t>
  </si>
  <si>
    <t>SR 5/US 1 to Layne</t>
  </si>
  <si>
    <t>Add 2 lanes (from 2 to 4)</t>
  </si>
  <si>
    <t>Upgrade railroad crossing</t>
  </si>
  <si>
    <t>Cost</t>
  </si>
  <si>
    <t>TimePeriod</t>
  </si>
  <si>
    <t>SR 816/Oakland Park</t>
  </si>
  <si>
    <t>SR 820/Hollywood/Pines</t>
  </si>
  <si>
    <t>Wave Streetcar</t>
  </si>
  <si>
    <t>SR 817/University</t>
  </si>
  <si>
    <t>Type</t>
  </si>
  <si>
    <t>T</t>
  </si>
  <si>
    <t>R</t>
  </si>
  <si>
    <t>MapID</t>
  </si>
  <si>
    <t>PurposeAndNeed</t>
  </si>
  <si>
    <t>ProjectSite</t>
  </si>
  <si>
    <t>2019 - 2020</t>
  </si>
  <si>
    <t>Provide multi-modal alternative to support high-density development</t>
  </si>
  <si>
    <t>http://wavestreetcar.com/</t>
  </si>
  <si>
    <t>Improve level-of-service</t>
  </si>
  <si>
    <t>Corridor upgrades to support enhanced bus service</t>
  </si>
  <si>
    <t>Provide passenger amenities, improve reliability, reduce passenger wait time</t>
  </si>
  <si>
    <t>Sawgrass Mills Mall to SR A1A</t>
  </si>
  <si>
    <t>2019 - 2025</t>
  </si>
  <si>
    <t>http://oaklandparkboulevardtransitstudy.com/</t>
  </si>
  <si>
    <t>Improve traffic flow</t>
  </si>
  <si>
    <t>SR 845/Powerline (up to I-95) and SR 816/Oakland Park</t>
  </si>
  <si>
    <t>US 27 to SR A1A</t>
  </si>
  <si>
    <t>http://www.hollywoodpinescorridorproject.com</t>
  </si>
  <si>
    <t>SR 842/Broward</t>
  </si>
  <si>
    <t>Sawgrass Mills Mall to SR 817/University Drive</t>
  </si>
  <si>
    <t>SR 5/US 1</t>
  </si>
  <si>
    <t>Aventura Mall to Downtown Terminal</t>
  </si>
  <si>
    <t>SR 834/Sample</t>
  </si>
  <si>
    <t>Sawgrass Express to SR A1A</t>
  </si>
  <si>
    <t>Rock Island and Royal Palm</t>
  </si>
  <si>
    <t>2021 - 2025</t>
  </si>
  <si>
    <r>
      <t>NE 6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Avenue</t>
    </r>
  </si>
  <si>
    <t>Prospect to Commercial</t>
  </si>
  <si>
    <t>Flamingo and SR 820/Pines</t>
  </si>
  <si>
    <t>Military and SR 834/Sample</t>
  </si>
  <si>
    <t>SW 15th and SR 84</t>
  </si>
  <si>
    <t>Upgrade corridor to support enhanced bus service</t>
  </si>
  <si>
    <t>Golden Glades to just north of Sample</t>
  </si>
  <si>
    <t>2026 - 2030</t>
  </si>
  <si>
    <t>http://www.browardmpo.org/projects-studies/university-drive-mobility-improvements-planning-study/</t>
  </si>
  <si>
    <t>Improve multi-modal level-of-service</t>
  </si>
  <si>
    <r>
      <t>NW 136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Avenue</t>
    </r>
  </si>
  <si>
    <r>
      <t>I-595 to NW 2</t>
    </r>
    <r>
      <rPr>
        <vertAlign val="superscript"/>
        <sz val="12"/>
        <color rgb="FF000000"/>
        <rFont val="Tw Cen MT"/>
        <family val="2"/>
      </rPr>
      <t>nd</t>
    </r>
  </si>
  <si>
    <r>
      <t>SW 188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Avenue</t>
    </r>
  </si>
  <si>
    <r>
      <t>Sheridan to SW 63</t>
    </r>
    <r>
      <rPr>
        <vertAlign val="superscript"/>
        <sz val="12"/>
        <color rgb="FF000000"/>
        <rFont val="Tw Cen MT"/>
        <family val="2"/>
      </rPr>
      <t>rd</t>
    </r>
  </si>
  <si>
    <t>Holmberg to County Line Road</t>
  </si>
  <si>
    <t>2026 - 2040</t>
  </si>
  <si>
    <t>SR 838/Sunrise</t>
  </si>
  <si>
    <r>
      <t>SW 148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Avenue</t>
    </r>
  </si>
  <si>
    <t>Bass Creek to Miramar</t>
  </si>
  <si>
    <t>Sawgrass Expressway to Coral Ridge</t>
  </si>
  <si>
    <r>
      <t>SR 820/Hollywood and 62</t>
    </r>
    <r>
      <rPr>
        <vertAlign val="superscript"/>
        <sz val="12"/>
        <color rgb="FF000000"/>
        <rFont val="Tw Cen MT"/>
        <family val="2"/>
      </rPr>
      <t>nd</t>
    </r>
  </si>
  <si>
    <t>Golden Glades to Sample</t>
  </si>
  <si>
    <t>2031 - 2040</t>
  </si>
  <si>
    <r>
      <t>SW 184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Avenue</t>
    </r>
  </si>
  <si>
    <t>Sheridan to SR 818/Griffin</t>
  </si>
  <si>
    <r>
      <t>SE 2</t>
    </r>
    <r>
      <rPr>
        <vertAlign val="superscript"/>
        <sz val="12"/>
        <color rgb="FF000000"/>
        <rFont val="Tw Cen MT"/>
        <family val="2"/>
      </rPr>
      <t>nd</t>
    </r>
    <r>
      <rPr>
        <sz val="12"/>
        <color rgb="FF000000"/>
        <rFont val="Tw Cen MT"/>
        <family val="2"/>
      </rPr>
      <t xml:space="preserve"> Street Extension</t>
    </r>
  </si>
  <si>
    <t>Complete roadway network</t>
  </si>
  <si>
    <r>
      <t>SW 196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Avenue</t>
    </r>
  </si>
  <si>
    <t>Miramar to Pines</t>
  </si>
  <si>
    <t>Improve safety, improve level-of-service, facilitate goods movement</t>
  </si>
  <si>
    <t>I-95 and SR 84</t>
  </si>
  <si>
    <t>Douglas to University</t>
  </si>
  <si>
    <r>
      <t>SE 9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Street</t>
    </r>
  </si>
  <si>
    <r>
      <t>FEC and SE 9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Street</t>
    </r>
  </si>
  <si>
    <t>Restripe to 6 lanes</t>
  </si>
  <si>
    <t>SR 7/US 441 to Florida Turnpike</t>
  </si>
  <si>
    <t>SE 17th to SE 7th and Andrews at NW 4th to NE 6th</t>
  </si>
  <si>
    <t>n/a</t>
  </si>
  <si>
    <t>Install ITS system components</t>
  </si>
  <si>
    <t>Improve systemwide traffic operations</t>
  </si>
  <si>
    <t>Southwest Broward County</t>
  </si>
  <si>
    <t>Modern Trolleys</t>
  </si>
  <si>
    <t>Purchase 15 trolley vehicles</t>
  </si>
  <si>
    <t>Improve community circulation and connections to regional transit systems</t>
  </si>
  <si>
    <t>City of Fort Lauderdale</t>
  </si>
  <si>
    <t>Wayfinding Program</t>
  </si>
  <si>
    <t>Install Wayfinding</t>
  </si>
  <si>
    <t>Downtown ITS System</t>
  </si>
  <si>
    <t>Downtown Fort Lauderdale</t>
  </si>
  <si>
    <t>Northeast Broward County</t>
  </si>
  <si>
    <t>Southeast Broward County</t>
  </si>
  <si>
    <t>Northwest Broward County</t>
  </si>
  <si>
    <t>Bridge Improvements</t>
  </si>
  <si>
    <t>Reconstruct bridges</t>
  </si>
  <si>
    <t>System preservation</t>
  </si>
  <si>
    <t>Oakland Park, citywide</t>
  </si>
  <si>
    <t>P</t>
  </si>
  <si>
    <t>N</t>
  </si>
  <si>
    <t>Y</t>
  </si>
  <si>
    <t>Broward Signal Network</t>
  </si>
  <si>
    <t>Install Ethernet to Fiber-optics</t>
  </si>
  <si>
    <t>FDOT Signal Network</t>
  </si>
  <si>
    <t>Install Cellular to Fiber-optics</t>
  </si>
  <si>
    <t>2019 - 2040</t>
  </si>
  <si>
    <t>Freight Plan</t>
  </si>
  <si>
    <t>Unfunded List</t>
  </si>
  <si>
    <t>EJ/TitleVI</t>
  </si>
  <si>
    <t>Included</t>
  </si>
  <si>
    <t>ID</t>
  </si>
  <si>
    <t>Priority</t>
  </si>
  <si>
    <r>
      <t>SW 200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to SW 184</t>
    </r>
    <r>
      <rPr>
        <vertAlign val="superscript"/>
        <sz val="12"/>
        <color rgb="FF000000"/>
        <rFont val="Tw Cen MT"/>
        <family val="2"/>
      </rPr>
      <t>th</t>
    </r>
  </si>
  <si>
    <r>
      <t>SW 184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to SW 160</t>
    </r>
    <r>
      <rPr>
        <vertAlign val="superscript"/>
        <sz val="12"/>
        <color rgb="FF000000"/>
        <rFont val="Tw Cen MT"/>
        <family val="2"/>
      </rPr>
      <t>th</t>
    </r>
  </si>
  <si>
    <t>BCT TDP</t>
  </si>
  <si>
    <t>Status</t>
  </si>
  <si>
    <t>Vision</t>
  </si>
  <si>
    <t>Status Quo</t>
  </si>
  <si>
    <t>-</t>
  </si>
  <si>
    <t>Yes</t>
  </si>
  <si>
    <t>No</t>
  </si>
  <si>
    <t>TOTAL</t>
  </si>
  <si>
    <t>Amount of Investment</t>
  </si>
  <si>
    <t>Financially Feasible Projects</t>
  </si>
  <si>
    <t>Major Capital, 2019 - 2040</t>
  </si>
  <si>
    <t>Percent of Total Investment</t>
  </si>
  <si>
    <r>
      <rPr>
        <vertAlign val="superscript"/>
        <sz val="11"/>
        <color theme="1"/>
        <rFont val="Tw Cen MT"/>
        <family val="2"/>
      </rPr>
      <t>*</t>
    </r>
    <r>
      <rPr>
        <sz val="11"/>
        <color theme="1"/>
        <rFont val="Tw Cen MT"/>
        <family val="2"/>
      </rPr>
      <t xml:space="preserve"> A project with minor variances in"limits" or "type of work".</t>
    </r>
  </si>
  <si>
    <r>
      <t>Yes</t>
    </r>
    <r>
      <rPr>
        <vertAlign val="superscript"/>
        <sz val="12"/>
        <color theme="1"/>
        <rFont val="Tw Cen MT"/>
        <family val="2"/>
      </rPr>
      <t>*</t>
    </r>
  </si>
  <si>
    <r>
      <rPr>
        <vertAlign val="superscript"/>
        <sz val="11"/>
        <color theme="1"/>
        <rFont val="Tw Cen MT"/>
        <family val="2"/>
      </rPr>
      <t>*</t>
    </r>
    <r>
      <rPr>
        <sz val="11"/>
        <color theme="1"/>
        <rFont val="Tw Cen MT"/>
        <family val="2"/>
      </rPr>
      <t xml:space="preserve"> A project with minor variances in "To" and "From" or "Project Type".</t>
    </r>
  </si>
  <si>
    <r>
      <rPr>
        <vertAlign val="superscript"/>
        <sz val="11"/>
        <color theme="1"/>
        <rFont val="Tw Cen MT"/>
        <family val="2"/>
      </rPr>
      <t>*</t>
    </r>
    <r>
      <rPr>
        <sz val="11"/>
        <color theme="1"/>
        <rFont val="Tw Cen MT"/>
        <family val="2"/>
      </rPr>
      <t xml:space="preserve"> All but one project (The Wave Streetcar) is included within the Vision Plan.</t>
    </r>
  </si>
  <si>
    <r>
      <rPr>
        <vertAlign val="superscript"/>
        <sz val="11"/>
        <color theme="1"/>
        <rFont val="Tw Cen MT"/>
        <family val="2"/>
      </rPr>
      <t>**</t>
    </r>
    <r>
      <rPr>
        <sz val="11"/>
        <color theme="1"/>
        <rFont val="Tw Cen MT"/>
        <family val="2"/>
      </rPr>
      <t xml:space="preserve"> A project with a minor variance in"Project Limits".</t>
    </r>
  </si>
  <si>
    <r>
      <t>Partial</t>
    </r>
    <r>
      <rPr>
        <vertAlign val="superscript"/>
        <sz val="12"/>
        <color theme="1"/>
        <rFont val="Tw Cen MT"/>
        <family val="2"/>
      </rPr>
      <t>*</t>
    </r>
  </si>
  <si>
    <r>
      <t>Partial</t>
    </r>
    <r>
      <rPr>
        <vertAlign val="superscript"/>
        <sz val="12"/>
        <color theme="1"/>
        <rFont val="Tw Cen MT"/>
        <family val="2"/>
      </rPr>
      <t>**</t>
    </r>
  </si>
  <si>
    <t>Percent of Total Projects</t>
  </si>
  <si>
    <t>Match</t>
  </si>
  <si>
    <t>Exact Match</t>
  </si>
  <si>
    <t>Partial Match</t>
  </si>
  <si>
    <t>Unique to Commitment 2040</t>
  </si>
  <si>
    <t>Broward Connected - TDP (Transit Only)</t>
  </si>
  <si>
    <t>2040 Regional Freight Plan (Roadway Only)</t>
  </si>
  <si>
    <t>FY 13-14 Unfunded Priorities List (All Projects)</t>
  </si>
  <si>
    <t>Step 1: Create quarter mile buffer for each project. A half mile is centered around the project. This buffer represents the 'impact footprint' for each project.</t>
  </si>
  <si>
    <t>Draft - May 23, 2014</t>
  </si>
  <si>
    <t>Step 3: Develop a impact footprint and ACS block group ratio to determine the representative demographic for each portion of the ACS block group.</t>
  </si>
  <si>
    <t>Number of Projects</t>
  </si>
  <si>
    <t>Step 2: Overlay impact footprint with the American Community Survey (ACS) 2008-2012 (five-year estimate) block groups. This is the smallest geography available at this time.</t>
  </si>
  <si>
    <t>Step 5: Calculate percentages for these populations within Broward County. County population percentages resulted in 56.5% minority/Hispanic, 13.5% in poverty, and 6.7% have limited English proficiency.</t>
  </si>
  <si>
    <t>Development Process</t>
  </si>
  <si>
    <t>Improve safety, improve Level-of-Service</t>
  </si>
  <si>
    <t>2035 LRTP</t>
  </si>
  <si>
    <t>Exht 24</t>
  </si>
  <si>
    <t>Exht 71/20</t>
  </si>
  <si>
    <t>Exht 72</t>
  </si>
  <si>
    <t>Exht 71/24</t>
  </si>
  <si>
    <t>Exht 71/35</t>
  </si>
  <si>
    <t>Exht 71/26</t>
  </si>
  <si>
    <t>Exht 71/30</t>
  </si>
  <si>
    <t>Exht 73/37</t>
  </si>
  <si>
    <t>Exht 71/21</t>
  </si>
  <si>
    <t>Exht 75/22</t>
  </si>
  <si>
    <t>Exht 71/47</t>
  </si>
  <si>
    <t>Exht 71/41</t>
  </si>
  <si>
    <t>Exht 71/43</t>
  </si>
  <si>
    <t>Exht 71/44</t>
  </si>
  <si>
    <t>Exht 71/23</t>
  </si>
  <si>
    <t>Exht 73/35</t>
  </si>
  <si>
    <t>Reconstruct intersection, including the elimination of eastbound turn-lane</t>
  </si>
  <si>
    <t>Exhibit /ID</t>
  </si>
  <si>
    <t>Reconstruct roadway to include multimodal alternatives</t>
  </si>
  <si>
    <t>Table 1. Transformation 2035 (All Projects)</t>
  </si>
  <si>
    <t>Table 2. FY 13-14 Unfunded Priorities List (All Projects)</t>
  </si>
  <si>
    <t>Table 3. 2040 Regional Freight Plan (Roadway Only)</t>
  </si>
  <si>
    <t>Table 4. BCT Connected - TDP (Transit Only)</t>
  </si>
  <si>
    <t>Transformation 2035 (All Projects)</t>
  </si>
  <si>
    <t>Table 1. Transformation 2035 (Transit Projects)</t>
  </si>
  <si>
    <t>Table 2. Transformation 2035 (Roadway Projects)</t>
  </si>
  <si>
    <t>Table 3. FY 13-14 Unfunded Priorities List (Transit Projects)</t>
  </si>
  <si>
    <t>Table 4. FY 13-14 Unfunded Priorities List (Roadway Projects)</t>
  </si>
  <si>
    <t>Transformation 2035 (Transit Projects)</t>
  </si>
  <si>
    <t>FY 13-14 Unfunded Priorities List (Roadway Projects)</t>
  </si>
  <si>
    <t>FY 13-14 Unfunded Priorities List (Transit Projects)</t>
  </si>
  <si>
    <t>Transformation 2035 (Roadway Projects)</t>
  </si>
  <si>
    <t>Move</t>
  </si>
  <si>
    <t>Create</t>
  </si>
  <si>
    <t>Strenghten</t>
  </si>
  <si>
    <t>GOALS (RANK)</t>
  </si>
  <si>
    <t>Project Development</t>
  </si>
  <si>
    <t>In Process</t>
  </si>
  <si>
    <t>Level</t>
  </si>
  <si>
    <t>EIS</t>
  </si>
  <si>
    <t>RFP</t>
  </si>
  <si>
    <t>Operations</t>
  </si>
  <si>
    <t>ROW</t>
  </si>
  <si>
    <t>Roadway Network</t>
  </si>
  <si>
    <t>U</t>
  </si>
  <si>
    <t>OVER</t>
  </si>
  <si>
    <t>UNDER</t>
  </si>
  <si>
    <t>AT</t>
  </si>
  <si>
    <t>SEVERE</t>
  </si>
  <si>
    <t>1st</t>
  </si>
  <si>
    <t>2nd</t>
  </si>
  <si>
    <t>3rd</t>
  </si>
  <si>
    <t>4th</t>
  </si>
  <si>
    <t>Local Transit</t>
  </si>
  <si>
    <t>Regional Transit</t>
  </si>
  <si>
    <t>System Type</t>
  </si>
  <si>
    <t>Regional Roadways</t>
  </si>
  <si>
    <t>5th</t>
  </si>
  <si>
    <t>Move People</t>
  </si>
  <si>
    <t>Create Jobs</t>
  </si>
  <si>
    <t>Strengthen Communities</t>
  </si>
  <si>
    <t>Local Roadways</t>
  </si>
  <si>
    <t>Fill Gap</t>
  </si>
  <si>
    <t>Add Capacity</t>
  </si>
  <si>
    <t>2040 V/C</t>
  </si>
  <si>
    <t>Table 1. Status of Project Development (Transit Projects)</t>
  </si>
  <si>
    <t>Programmed / In Process</t>
  </si>
  <si>
    <t>To Be Programmed</t>
  </si>
  <si>
    <t>% of Projects</t>
  </si>
  <si>
    <t>% of Investment</t>
  </si>
  <si>
    <t>Fills Gap in Network</t>
  </si>
  <si>
    <t>Adds Additional Capacity</t>
  </si>
  <si>
    <t>Improves Operations</t>
  </si>
  <si>
    <t>IMPACT ON ROADWAY NETWORK</t>
  </si>
  <si>
    <t>Percent of Projects and Investment in Project Development</t>
  </si>
  <si>
    <t>Rank</t>
  </si>
  <si>
    <t>RFP Developed</t>
  </si>
  <si>
    <t>Planned</t>
  </si>
  <si>
    <t>Planning</t>
  </si>
  <si>
    <t>EIS/Design</t>
  </si>
  <si>
    <t>Corridor Plan - in Process</t>
  </si>
  <si>
    <t>Corridor Plan - Completed</t>
  </si>
  <si>
    <t>GOAL CONSISTENCY - BOARD/PUBLIC OUTREACH</t>
  </si>
  <si>
    <t>Table 1. Projects by Public Outreach Rankings to Achieve the "Move People" Goal</t>
  </si>
  <si>
    <t>Table 2. Projects by Public Outreach Rankings to Achieve the "Create Jobs" Goal</t>
  </si>
  <si>
    <t>Table 3. Projects by Public Outreach Rankings to Achieve the "Strengthen Communities" Goal</t>
  </si>
  <si>
    <t>Percent of Projects by Goal Consistency - Board/Public Outreach</t>
  </si>
  <si>
    <t>Percent of Investment by Goal Consistency - Board/Public Outreach</t>
  </si>
  <si>
    <t>STATUS OF PROJECT DEVELOPMENT (TRANSIT ONLY)</t>
  </si>
  <si>
    <t>2040 V/C without Improvement</t>
  </si>
  <si>
    <t>Requires Right-of-Way</t>
  </si>
  <si>
    <t>Table 2. Adds Additional Capacity</t>
  </si>
  <si>
    <t>Table 1. Fills Gap in the Roadway Network</t>
  </si>
  <si>
    <t>Table 3. Improves Operations</t>
  </si>
  <si>
    <t>Table 4. Requires Right-of-Way</t>
  </si>
  <si>
    <t>Unknown</t>
  </si>
  <si>
    <t>At Capacity</t>
  </si>
  <si>
    <t>Over Capacity</t>
  </si>
  <si>
    <t>Capacity Available</t>
  </si>
  <si>
    <t>Severely Congested</t>
  </si>
  <si>
    <t>Table 5. Projected 2040 V/C without Improvement (Capacity Projects Only)</t>
  </si>
  <si>
    <t>Percent of Projects Impacting the Roadway Network</t>
  </si>
  <si>
    <t>Percent of Investments Impacting the Roadway Network</t>
  </si>
  <si>
    <t>CONSISTENCY WITH OTHER PLANS</t>
  </si>
  <si>
    <t>CONSISTENCY WITH TRANSFORMATION 2035</t>
  </si>
  <si>
    <t>Broward County</t>
  </si>
  <si>
    <t>Programmatic</t>
  </si>
  <si>
    <t>Sidewalks, bike facilities and greenways</t>
  </si>
  <si>
    <t>Local transit improvements</t>
  </si>
  <si>
    <t>Local roadway improvements</t>
  </si>
  <si>
    <t>Fact track delivery of nonregionally signficant projects</t>
  </si>
  <si>
    <t>Sidewalks, bike, etc.</t>
  </si>
  <si>
    <t>Financially Feasible Projects and Programs</t>
  </si>
  <si>
    <t>Major Capital and Programmatic, 2019 - 2040</t>
  </si>
  <si>
    <t>System</t>
  </si>
  <si>
    <t>SB</t>
  </si>
  <si>
    <t>RR</t>
  </si>
  <si>
    <t>LT</t>
  </si>
  <si>
    <t>LR</t>
  </si>
  <si>
    <t>RT</t>
  </si>
  <si>
    <t>Bike/Ped</t>
  </si>
  <si>
    <t>Tpop</t>
  </si>
  <si>
    <t>EJPop</t>
  </si>
  <si>
    <t>Adverse</t>
  </si>
  <si>
    <t>Benefit</t>
  </si>
  <si>
    <t>Step 4: Calculate total population and the minority/Hispanic population within the impact footprint for each project.</t>
  </si>
  <si>
    <t>Total Population</t>
  </si>
  <si>
    <t>PRELIMINARY EJ ANALYSIS</t>
  </si>
  <si>
    <t>Max Possible EJ Population</t>
  </si>
  <si>
    <t>Percent</t>
  </si>
  <si>
    <t>Potential Adverse Effect by EJ Populations</t>
  </si>
  <si>
    <t xml:space="preserve">Table 1. Potential Adverse Effect by EJ Population </t>
  </si>
  <si>
    <t>Maxium Possible EJ Population</t>
  </si>
  <si>
    <r>
      <t>NE 3</t>
    </r>
    <r>
      <rPr>
        <vertAlign val="superscript"/>
        <sz val="12"/>
        <color theme="1"/>
        <rFont val="Tw Cen MT"/>
        <family val="2"/>
      </rPr>
      <t xml:space="preserve">rd </t>
    </r>
    <r>
      <rPr>
        <sz val="12"/>
        <color theme="1"/>
        <rFont val="Tw Cen MT"/>
        <family val="2"/>
      </rPr>
      <t>Avenue</t>
    </r>
  </si>
  <si>
    <t>Griffin Road</t>
  </si>
  <si>
    <t>Sample to Copans</t>
  </si>
  <si>
    <t>I-75 to Flamingo</t>
  </si>
  <si>
    <t>Exht 71/14</t>
  </si>
  <si>
    <t>Exht 71/12</t>
  </si>
  <si>
    <t>Old</t>
  </si>
  <si>
    <r>
      <t>NW 21</t>
    </r>
    <r>
      <rPr>
        <vertAlign val="superscript"/>
        <sz val="12"/>
        <color rgb="FF000000"/>
        <rFont val="Tw Cen MT"/>
        <family val="2"/>
      </rPr>
      <t>st</t>
    </r>
    <r>
      <rPr>
        <sz val="12"/>
        <color rgb="FF000000"/>
        <rFont val="Tw Cen MT"/>
        <family val="2"/>
      </rPr>
      <t xml:space="preserve"> Avenue</t>
    </r>
  </si>
  <si>
    <t>SR 816/Oakland Park to SR 870/Commercial</t>
  </si>
  <si>
    <t>Exht 71/18</t>
  </si>
  <si>
    <r>
      <t>Sawgrass Expressway to NW 40</t>
    </r>
    <r>
      <rPr>
        <vertAlign val="superscript"/>
        <sz val="12"/>
        <color rgb="FF000000"/>
        <rFont val="Tw Cen MT"/>
        <family val="2"/>
      </rPr>
      <t>th</t>
    </r>
    <r>
      <rPr>
        <sz val="12"/>
        <color rgb="FF000000"/>
        <rFont val="Tw Cen MT"/>
        <family val="2"/>
      </rPr>
      <t xml:space="preserve"> (Cardinal)</t>
    </r>
  </si>
  <si>
    <t>2021 - 2030</t>
  </si>
  <si>
    <t>Exht 71/48</t>
  </si>
  <si>
    <t>PROJECT BY TYPE (ALL)</t>
  </si>
  <si>
    <t>Roadway</t>
  </si>
  <si>
    <t>Transit</t>
  </si>
  <si>
    <t>Percent of Projects and Investment by Type</t>
  </si>
  <si>
    <t>Percent of Projects and Investment by Time Period</t>
  </si>
  <si>
    <r>
      <t>NW 21</t>
    </r>
    <r>
      <rPr>
        <vertAlign val="superscript"/>
        <sz val="14"/>
        <color rgb="FF000000"/>
        <rFont val="Tw Cen MT"/>
        <family val="2"/>
      </rPr>
      <t>st</t>
    </r>
    <r>
      <rPr>
        <sz val="14"/>
        <color rgb="FF000000"/>
        <rFont val="Tw Cen MT"/>
        <family val="2"/>
      </rPr>
      <t xml:space="preserve"> Avenue</t>
    </r>
  </si>
  <si>
    <r>
      <t>NE 3</t>
    </r>
    <r>
      <rPr>
        <vertAlign val="superscript"/>
        <sz val="14"/>
        <color theme="1"/>
        <rFont val="Tw Cen MT"/>
        <family val="2"/>
      </rPr>
      <t xml:space="preserve">rd </t>
    </r>
    <r>
      <rPr>
        <sz val="14"/>
        <color theme="1"/>
        <rFont val="Tw Cen MT"/>
        <family val="2"/>
      </rPr>
      <t>Avenue</t>
    </r>
  </si>
  <si>
    <r>
      <t>NE 6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Avenue</t>
    </r>
  </si>
  <si>
    <r>
      <t>NW 136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Avenue</t>
    </r>
  </si>
  <si>
    <r>
      <t>SW 188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Avenue</t>
    </r>
  </si>
  <si>
    <r>
      <t>SW 148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Avenue</t>
    </r>
  </si>
  <si>
    <r>
      <t>SW 184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Avenue</t>
    </r>
  </si>
  <si>
    <r>
      <t>SE 2</t>
    </r>
    <r>
      <rPr>
        <vertAlign val="superscript"/>
        <sz val="14"/>
        <color rgb="FF000000"/>
        <rFont val="Tw Cen MT"/>
        <family val="2"/>
      </rPr>
      <t>nd</t>
    </r>
    <r>
      <rPr>
        <sz val="14"/>
        <color rgb="FF000000"/>
        <rFont val="Tw Cen MT"/>
        <family val="2"/>
      </rPr>
      <t xml:space="preserve"> Street Extension</t>
    </r>
  </si>
  <si>
    <r>
      <t>SW 196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Avenue</t>
    </r>
  </si>
  <si>
    <r>
      <t>SE 9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Street</t>
    </r>
  </si>
  <si>
    <r>
      <t>Sawgrass Expressway to NW 40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(Cardinal)</t>
    </r>
  </si>
  <si>
    <r>
      <t>SW 184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to SW 160</t>
    </r>
    <r>
      <rPr>
        <vertAlign val="superscript"/>
        <sz val="14"/>
        <color rgb="FF000000"/>
        <rFont val="Tw Cen MT"/>
        <family val="2"/>
      </rPr>
      <t>th</t>
    </r>
  </si>
  <si>
    <r>
      <t>I-595 to NW 2</t>
    </r>
    <r>
      <rPr>
        <vertAlign val="superscript"/>
        <sz val="14"/>
        <color rgb="FF000000"/>
        <rFont val="Tw Cen MT"/>
        <family val="2"/>
      </rPr>
      <t>nd</t>
    </r>
  </si>
  <si>
    <r>
      <t>Sheridan to SW 63</t>
    </r>
    <r>
      <rPr>
        <vertAlign val="superscript"/>
        <sz val="14"/>
        <color rgb="FF000000"/>
        <rFont val="Tw Cen MT"/>
        <family val="2"/>
      </rPr>
      <t>rd</t>
    </r>
  </si>
  <si>
    <r>
      <t>SW 200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to SW 184</t>
    </r>
    <r>
      <rPr>
        <vertAlign val="superscript"/>
        <sz val="14"/>
        <color rgb="FF000000"/>
        <rFont val="Tw Cen MT"/>
        <family val="2"/>
      </rPr>
      <t>th</t>
    </r>
  </si>
  <si>
    <r>
      <t>SR 820/Hollywood and 62</t>
    </r>
    <r>
      <rPr>
        <vertAlign val="superscript"/>
        <sz val="14"/>
        <color rgb="FF000000"/>
        <rFont val="Tw Cen MT"/>
        <family val="2"/>
      </rPr>
      <t>nd</t>
    </r>
  </si>
  <si>
    <r>
      <t>FEC and SE 9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Street</t>
    </r>
  </si>
  <si>
    <t>Reconstruct intersection, including the elimination of turn-lanes</t>
  </si>
  <si>
    <r>
      <t xml:space="preserve">For additional information on the Broward MPO and </t>
    </r>
    <r>
      <rPr>
        <i/>
        <sz val="14"/>
        <color theme="1"/>
        <rFont val="Tw Cen MT"/>
        <family val="2"/>
      </rPr>
      <t>Commitment 2040</t>
    </r>
    <r>
      <rPr>
        <sz val="14"/>
        <color theme="1"/>
        <rFont val="Tw Cen MT"/>
        <family val="2"/>
      </rPr>
      <t xml:space="preserve">, visit </t>
    </r>
    <r>
      <rPr>
        <u/>
        <sz val="14"/>
        <color rgb="FF0000FF"/>
        <rFont val="Tw Cen MT"/>
        <family val="2"/>
      </rPr>
      <t>www.browardmpo.org</t>
    </r>
    <r>
      <rPr>
        <sz val="14"/>
        <color theme="1"/>
        <rFont val="Tw Cen MT"/>
        <family val="2"/>
      </rPr>
      <t>.</t>
    </r>
  </si>
  <si>
    <t>June 27, 2014</t>
  </si>
  <si>
    <r>
      <t>Cost</t>
    </r>
    <r>
      <rPr>
        <b/>
        <vertAlign val="superscript"/>
        <sz val="16"/>
        <rFont val="Tw Cen MT"/>
        <family val="2"/>
      </rPr>
      <t>1</t>
    </r>
  </si>
  <si>
    <r>
      <rPr>
        <vertAlign val="superscript"/>
        <sz val="14"/>
        <color theme="1"/>
        <rFont val="Tw Cen MT"/>
        <family val="2"/>
      </rPr>
      <t>1</t>
    </r>
    <r>
      <rPr>
        <sz val="14"/>
        <color theme="1"/>
        <rFont val="Tw Cen MT"/>
        <family val="2"/>
      </rPr>
      <t>Millions of dollars in year of expenditure</t>
    </r>
  </si>
  <si>
    <r>
      <t>SE 17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to SE 7</t>
    </r>
    <r>
      <rPr>
        <vertAlign val="superscript"/>
        <sz val="14"/>
        <color rgb="FF000000"/>
        <rFont val="Tw Cen MT"/>
        <family val="2"/>
      </rPr>
      <t>th</t>
    </r>
    <r>
      <rPr>
        <sz val="14"/>
        <color rgb="FF000000"/>
        <rFont val="Tw Cen MT"/>
        <family val="2"/>
      </rPr>
      <t xml:space="preserve"> and Andrews at NW 4th to NE 6th</t>
    </r>
  </si>
  <si>
    <t>TOTALS</t>
  </si>
  <si>
    <t>Comments</t>
  </si>
  <si>
    <t>Suggestions</t>
  </si>
  <si>
    <t>Report BCT efforts</t>
  </si>
  <si>
    <t>Report monrail costs</t>
  </si>
  <si>
    <t>N/A</t>
  </si>
  <si>
    <t>Proposed Action</t>
  </si>
  <si>
    <t>Public Input received between July 21st and August 21st, 2014</t>
  </si>
  <si>
    <t>Follow up with BCT</t>
  </si>
  <si>
    <t>Report FDOT efforts</t>
  </si>
  <si>
    <t>May be accelerated</t>
  </si>
  <si>
    <t>Score</t>
  </si>
  <si>
    <t>14/10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</si>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</sst>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"/>
    <numFmt numFmtId="165" formatCode="[$-409]mmmm\ d\,\ yyyy;@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Tw Cen MT"/>
      <family val="2"/>
    </font>
    <font>
      <sz val="12"/>
      <color rgb="FF000000"/>
      <name val="Tw Cen MT"/>
      <family val="2"/>
    </font>
    <font>
      <vertAlign val="superscript"/>
      <sz val="12"/>
      <color rgb="FF000000"/>
      <name val="Tw Cen MT"/>
      <family val="2"/>
    </font>
    <font>
      <sz val="11"/>
      <color theme="1"/>
      <name val="Tw Cen MT"/>
      <family val="2"/>
    </font>
    <font>
      <b/>
      <sz val="12"/>
      <color theme="1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2"/>
      <color theme="0"/>
      <name val="Tw Cen MT"/>
      <family val="2"/>
    </font>
    <font>
      <vertAlign val="superscript"/>
      <sz val="12"/>
      <color theme="1"/>
      <name val="Tw Cen MT"/>
      <family val="2"/>
    </font>
    <font>
      <sz val="16"/>
      <color rgb="FF0054A4"/>
      <name val="Tw Cen MT"/>
      <family val="2"/>
    </font>
    <font>
      <vertAlign val="superscript"/>
      <sz val="11"/>
      <color theme="1"/>
      <name val="Tw Cen MT"/>
      <family val="2"/>
    </font>
    <font>
      <sz val="9"/>
      <color indexed="81"/>
      <name val="Tahoma"/>
      <family val="2"/>
    </font>
    <font>
      <sz val="14"/>
      <color theme="1"/>
      <name val="Tw Cen MT"/>
      <family val="2"/>
    </font>
    <font>
      <u/>
      <sz val="11"/>
      <color theme="10"/>
      <name val="Calibri"/>
      <family val="2"/>
      <scheme val="minor"/>
    </font>
    <font>
      <sz val="14"/>
      <color rgb="FF000000"/>
      <name val="Tw Cen MT"/>
      <family val="2"/>
    </font>
    <font>
      <vertAlign val="superscript"/>
      <sz val="14"/>
      <color rgb="FF000000"/>
      <name val="Tw Cen MT"/>
      <family val="2"/>
    </font>
    <font>
      <vertAlign val="superscript"/>
      <sz val="14"/>
      <color theme="1"/>
      <name val="Tw Cen MT"/>
      <family val="2"/>
    </font>
    <font>
      <i/>
      <sz val="14"/>
      <color theme="1"/>
      <name val="Tw Cen MT"/>
      <family val="2"/>
    </font>
    <font>
      <u/>
      <sz val="14"/>
      <color rgb="FF0000FF"/>
      <name val="Tw Cen MT"/>
      <family val="2"/>
    </font>
    <font>
      <b/>
      <sz val="20"/>
      <name val="Tw Cen MT"/>
      <family val="2"/>
    </font>
    <font>
      <sz val="14"/>
      <name val="Tw Cen MT"/>
      <family val="2"/>
    </font>
    <font>
      <b/>
      <sz val="16"/>
      <name val="Tw Cen MT"/>
      <family val="2"/>
    </font>
    <font>
      <b/>
      <vertAlign val="superscript"/>
      <sz val="16"/>
      <name val="Tw Cen MT"/>
      <family val="2"/>
    </font>
    <font>
      <b/>
      <sz val="14"/>
      <color rgb="FF000000"/>
      <name val="Tw Cen MT"/>
      <family val="2"/>
    </font>
    <font>
      <b/>
      <sz val="12"/>
      <color rgb="FF000000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54A4"/>
        <bgColor indexed="64"/>
      </patternFill>
    </fill>
    <fill>
      <patternFill patternType="solid">
        <fgColor rgb="FFB9E0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 wrapText="1"/>
    </xf>
    <xf numFmtId="8" fontId="2" fillId="0" borderId="0" xfId="0" applyNumberFormat="1" applyFont="1" applyAlignment="1">
      <alignment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/>
    <xf numFmtId="164" fontId="2" fillId="0" borderId="0" xfId="0" applyNumberFormat="1" applyFont="1" applyFill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8" fontId="2" fillId="0" borderId="0" xfId="0" applyNumberFormat="1" applyFont="1" applyFill="1" applyAlignment="1">
      <alignment wrapText="1"/>
    </xf>
    <xf numFmtId="8" fontId="2" fillId="0" borderId="0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8" fontId="2" fillId="2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0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164" fontId="1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right" wrapText="1"/>
    </xf>
    <xf numFmtId="3" fontId="1" fillId="0" borderId="0" xfId="0" applyNumberFormat="1" applyFont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7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3" fontId="1" fillId="0" borderId="0" xfId="0" applyNumberFormat="1" applyFont="1" applyFill="1"/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4" borderId="0" xfId="0" applyFont="1" applyFill="1"/>
    <xf numFmtId="0" fontId="5" fillId="0" borderId="0" xfId="0" applyFont="1" applyAlignment="1">
      <alignment horizontal="center" vertical="center"/>
    </xf>
    <xf numFmtId="0" fontId="14" fillId="0" borderId="0" xfId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164" fontId="15" fillId="0" borderId="0" xfId="0" applyNumberFormat="1" applyFont="1" applyFill="1" applyAlignment="1">
      <alignment horizontal="right" vertical="center" wrapText="1"/>
    </xf>
    <xf numFmtId="8" fontId="15" fillId="0" borderId="0" xfId="0" applyNumberFormat="1" applyFont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right" vertical="center" wrapText="1"/>
    </xf>
    <xf numFmtId="8" fontId="15" fillId="0" borderId="3" xfId="0" applyNumberFormat="1" applyFont="1" applyBorder="1" applyAlignment="1">
      <alignment horizontal="center" vertical="center" wrapText="1"/>
    </xf>
    <xf numFmtId="8" fontId="15" fillId="0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164" fontId="15" fillId="0" borderId="4" xfId="0" applyNumberFormat="1" applyFont="1" applyFill="1" applyBorder="1" applyAlignment="1">
      <alignment horizontal="right" vertical="center" wrapText="1"/>
    </xf>
    <xf numFmtId="8" fontId="15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64" fontId="15" fillId="0" borderId="0" xfId="0" applyNumberFormat="1" applyFont="1" applyFill="1" applyBorder="1" applyAlignment="1">
      <alignment horizontal="right" vertical="center" wrapText="1"/>
    </xf>
    <xf numFmtId="8" fontId="1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5" fillId="0" borderId="0" xfId="0" applyFont="1" applyAlignment="1">
      <alignment horizont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left"/>
    </xf>
    <xf numFmtId="0" fontId="13" fillId="8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left" wrapText="1"/>
    </xf>
    <xf numFmtId="16" fontId="1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24" fillId="5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0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9E0F7"/>
      <color rgb="FF0000FF"/>
      <color rgb="FF0054A4"/>
      <color rgb="FF009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chartsheet" Target="chartsheets/sheet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0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chartsheet" Target="chartsheets/sheet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5.xml"/><Relationship Id="rId20" Type="http://schemas.openxmlformats.org/officeDocument/2006/relationships/chartsheet" Target="chartsheets/sheet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4.xml"/><Relationship Id="rId23" Type="http://schemas.openxmlformats.org/officeDocument/2006/relationships/chartsheet" Target="chartsheets/sheet12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chartsheet" Target="chartsheets/sheet1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Commitment 2040: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sz="1400" b="1" i="0" u="none" strike="noStrike" baseline="0">
                <a:effectLst/>
              </a:rPr>
              <a:t>Consistency </a:t>
            </a:r>
            <a:r>
              <a:rPr lang="en-US" b="1" baseline="0">
                <a:solidFill>
                  <a:sysClr val="windowText" lastClr="000000"/>
                </a:solidFill>
              </a:rPr>
              <a:t>with Transformation 2035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Projects included within Planning Products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'Analysis-Trans2035'!$I$15</c:f>
              <c:strCache>
                <c:ptCount val="1"/>
                <c:pt idx="0">
                  <c:v>Exact Match</c:v>
                </c:pt>
              </c:strCache>
            </c:strRef>
          </c:tx>
          <c:spPr>
            <a:solidFill>
              <a:srgbClr val="0054A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'Analysis-Trans2035'!$H$16:$H$19</c:f>
              <c:strCache>
                <c:ptCount val="4"/>
                <c:pt idx="0">
                  <c:v>Transformation 2035 (Transit Projects)</c:v>
                </c:pt>
                <c:pt idx="1">
                  <c:v>Transformation 2035 (Roadway Projects)</c:v>
                </c:pt>
                <c:pt idx="2">
                  <c:v>FY 13-14 Unfunded Priorities List (Transit Projects)</c:v>
                </c:pt>
                <c:pt idx="3">
                  <c:v>FY 13-14 Unfunded Priorities List (Roadway Projects)</c:v>
                </c:pt>
              </c:strCache>
            </c:strRef>
          </c:cat>
          <c:val>
            <c:numRef>
              <c:f>'Analysis-Trans2035'!$I$16:$I$19</c:f>
              <c:numCache>
                <c:formatCode>0%</c:formatCode>
                <c:ptCount val="4"/>
                <c:pt idx="0">
                  <c:v>0.1</c:v>
                </c:pt>
                <c:pt idx="1">
                  <c:v>0.68421052631578949</c:v>
                </c:pt>
                <c:pt idx="2">
                  <c:v>0.3</c:v>
                </c:pt>
                <c:pt idx="3">
                  <c:v>0.63157894736842102</c:v>
                </c:pt>
              </c:numCache>
            </c:numRef>
          </c:val>
        </c:ser>
        <c:ser>
          <c:idx val="1"/>
          <c:order val="1"/>
          <c:tx>
            <c:strRef>
              <c:f>'Analysis-Trans2035'!$J$15</c:f>
              <c:strCache>
                <c:ptCount val="1"/>
                <c:pt idx="0">
                  <c:v>Partial Match</c:v>
                </c:pt>
              </c:strCache>
            </c:strRef>
          </c:tx>
          <c:spPr>
            <a:solidFill>
              <a:srgbClr val="009DDC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'Analysis-Trans2035'!$H$16:$H$19</c:f>
              <c:strCache>
                <c:ptCount val="4"/>
                <c:pt idx="0">
                  <c:v>Transformation 2035 (Transit Projects)</c:v>
                </c:pt>
                <c:pt idx="1">
                  <c:v>Transformation 2035 (Roadway Projects)</c:v>
                </c:pt>
                <c:pt idx="2">
                  <c:v>FY 13-14 Unfunded Priorities List (Transit Projects)</c:v>
                </c:pt>
                <c:pt idx="3">
                  <c:v>FY 13-14 Unfunded Priorities List (Roadway Projects)</c:v>
                </c:pt>
              </c:strCache>
            </c:strRef>
          </c:cat>
          <c:val>
            <c:numRef>
              <c:f>'Analysis-Trans2035'!$J$16:$J$19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0.7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'Analysis-Trans2035'!$K$15</c:f>
              <c:strCache>
                <c:ptCount val="1"/>
                <c:pt idx="0">
                  <c:v>Unique to Commitment 2040</c:v>
                </c:pt>
              </c:strCache>
            </c:strRef>
          </c:tx>
          <c:spPr>
            <a:solidFill>
              <a:srgbClr val="B9E0F7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'Analysis-Trans2035'!$H$16:$H$19</c:f>
              <c:strCache>
                <c:ptCount val="4"/>
                <c:pt idx="0">
                  <c:v>Transformation 2035 (Transit Projects)</c:v>
                </c:pt>
                <c:pt idx="1">
                  <c:v>Transformation 2035 (Roadway Projects)</c:v>
                </c:pt>
                <c:pt idx="2">
                  <c:v>FY 13-14 Unfunded Priorities List (Transit Projects)</c:v>
                </c:pt>
                <c:pt idx="3">
                  <c:v>FY 13-14 Unfunded Priorities List (Roadway Projects)</c:v>
                </c:pt>
              </c:strCache>
            </c:strRef>
          </c:cat>
          <c:val>
            <c:numRef>
              <c:f>'Analysis-Trans2035'!$K$16:$K$19</c:f>
              <c:numCache>
                <c:formatCode>0%</c:formatCode>
                <c:ptCount val="4"/>
                <c:pt idx="0">
                  <c:v>0.1</c:v>
                </c:pt>
                <c:pt idx="1">
                  <c:v>0.31578947368421051</c:v>
                </c:pt>
                <c:pt idx="2">
                  <c:v>0</c:v>
                </c:pt>
                <c:pt idx="3">
                  <c:v>0.36842105263157893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51463208"/>
        <c:axId val="351465168"/>
      </c:barChart>
      <c:catAx>
        <c:axId val="351463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1465168"/>
        <c:crosses val="autoZero"/>
        <c:auto val="1"/>
        <c:lblAlgn val="ctr"/>
        <c:lblOffset val="100"/>
        <c:noMultiLvlLbl val="0"/>
      </c:catAx>
      <c:valAx>
        <c:axId val="3514651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 sz="1100" b="0"/>
                  <a:t>Percent</a:t>
                </a:r>
                <a:r>
                  <a:rPr lang="en-US" sz="1100" b="0" baseline="0"/>
                  <a:t> of Commitment 2040 Projects</a:t>
                </a:r>
                <a:endParaRPr lang="en-US" sz="110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146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Commitment 2040: </a:t>
            </a:r>
            <a:r>
              <a:rPr lang="en-US" sz="1400" b="1" i="0" u="none" strike="noStrike" baseline="0">
                <a:effectLst/>
              </a:rPr>
              <a:t>Consistency </a:t>
            </a:r>
            <a:r>
              <a:rPr lang="en-US" sz="1400" b="1" i="0" baseline="0">
                <a:effectLst/>
              </a:rPr>
              <a:t>with Transformation 2035</a:t>
            </a:r>
            <a:endParaRPr lang="en-US" sz="1400"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effectLst/>
              </a:rPr>
              <a:t>Financially Feasible Major Capital Projects included within Planning Products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'Analysis-Trans2035'!$I$24</c:f>
              <c:strCache>
                <c:ptCount val="1"/>
                <c:pt idx="0">
                  <c:v>Exact Match</c:v>
                </c:pt>
              </c:strCache>
            </c:strRef>
          </c:tx>
          <c:spPr>
            <a:solidFill>
              <a:srgbClr val="0054A4"/>
            </a:solidFill>
            <a:ln>
              <a:noFill/>
            </a:ln>
            <a:effectLst/>
          </c:spPr>
          <c:invertIfNegative val="0"/>
          <c:cat>
            <c:strRef>
              <c:f>'Analysis-Trans2035'!$H$25:$H$28</c:f>
              <c:strCache>
                <c:ptCount val="4"/>
                <c:pt idx="0">
                  <c:v>Transformation 2035 (Transit Projects)</c:v>
                </c:pt>
                <c:pt idx="1">
                  <c:v>Transformation 2035 (Roadway Projects)</c:v>
                </c:pt>
                <c:pt idx="2">
                  <c:v>FY 13-14 Unfunded Priorities List (Transit Projects)</c:v>
                </c:pt>
                <c:pt idx="3">
                  <c:v>FY 13-14 Unfunded Priorities List (Roadway Projects)</c:v>
                </c:pt>
              </c:strCache>
            </c:strRef>
          </c:cat>
          <c:val>
            <c:numRef>
              <c:f>'Analysis-Trans2035'!$I$25:$I$28</c:f>
              <c:numCache>
                <c:formatCode>0%</c:formatCode>
                <c:ptCount val="4"/>
                <c:pt idx="0">
                  <c:v>3.6415565869332381E-2</c:v>
                </c:pt>
                <c:pt idx="1">
                  <c:v>0.82122905027932958</c:v>
                </c:pt>
                <c:pt idx="2">
                  <c:v>0.20825895513507081</c:v>
                </c:pt>
                <c:pt idx="3">
                  <c:v>0.76359894148779783</c:v>
                </c:pt>
              </c:numCache>
            </c:numRef>
          </c:val>
        </c:ser>
        <c:ser>
          <c:idx val="1"/>
          <c:order val="1"/>
          <c:tx>
            <c:strRef>
              <c:f>'Analysis-Trans2035'!$J$24</c:f>
              <c:strCache>
                <c:ptCount val="1"/>
                <c:pt idx="0">
                  <c:v>Partial Match</c:v>
                </c:pt>
              </c:strCache>
            </c:strRef>
          </c:tx>
          <c:spPr>
            <a:solidFill>
              <a:srgbClr val="009DDC"/>
            </a:solidFill>
            <a:ln>
              <a:noFill/>
            </a:ln>
            <a:effectLst/>
          </c:spPr>
          <c:invertIfNegative val="0"/>
          <c:cat>
            <c:strRef>
              <c:f>'Analysis-Trans2035'!$H$25:$H$28</c:f>
              <c:strCache>
                <c:ptCount val="4"/>
                <c:pt idx="0">
                  <c:v>Transformation 2035 (Transit Projects)</c:v>
                </c:pt>
                <c:pt idx="1">
                  <c:v>Transformation 2035 (Roadway Projects)</c:v>
                </c:pt>
                <c:pt idx="2">
                  <c:v>FY 13-14 Unfunded Priorities List (Transit Projects)</c:v>
                </c:pt>
                <c:pt idx="3">
                  <c:v>FY 13-14 Unfunded Priorities List (Roadway Projects)</c:v>
                </c:pt>
              </c:strCache>
            </c:strRef>
          </c:cat>
          <c:val>
            <c:numRef>
              <c:f>'Analysis-Trans2035'!$J$25:$J$28</c:f>
              <c:numCache>
                <c:formatCode>0%</c:formatCode>
                <c:ptCount val="4"/>
                <c:pt idx="0">
                  <c:v>0.95680114244912529</c:v>
                </c:pt>
                <c:pt idx="1">
                  <c:v>0</c:v>
                </c:pt>
                <c:pt idx="2">
                  <c:v>0.79174104486492913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'Analysis-Trans2035'!$K$24</c:f>
              <c:strCache>
                <c:ptCount val="1"/>
                <c:pt idx="0">
                  <c:v>Unique to Commitment 2040</c:v>
                </c:pt>
              </c:strCache>
            </c:strRef>
          </c:tx>
          <c:spPr>
            <a:solidFill>
              <a:srgbClr val="B9E0F7"/>
            </a:solidFill>
            <a:ln>
              <a:noFill/>
            </a:ln>
            <a:effectLst/>
          </c:spPr>
          <c:invertIfNegative val="0"/>
          <c:cat>
            <c:strRef>
              <c:f>'Analysis-Trans2035'!$H$25:$H$28</c:f>
              <c:strCache>
                <c:ptCount val="4"/>
                <c:pt idx="0">
                  <c:v>Transformation 2035 (Transit Projects)</c:v>
                </c:pt>
                <c:pt idx="1">
                  <c:v>Transformation 2035 (Roadway Projects)</c:v>
                </c:pt>
                <c:pt idx="2">
                  <c:v>FY 13-14 Unfunded Priorities List (Transit Projects)</c:v>
                </c:pt>
                <c:pt idx="3">
                  <c:v>FY 13-14 Unfunded Priorities List (Roadway Projects)</c:v>
                </c:pt>
              </c:strCache>
            </c:strRef>
          </c:cat>
          <c:val>
            <c:numRef>
              <c:f>'Analysis-Trans2035'!$K$25:$K$28</c:f>
              <c:numCache>
                <c:formatCode>0%</c:formatCode>
                <c:ptCount val="4"/>
                <c:pt idx="0">
                  <c:v>6.7832916815423056E-3</c:v>
                </c:pt>
                <c:pt idx="1">
                  <c:v>0.17877094972067034</c:v>
                </c:pt>
                <c:pt idx="2">
                  <c:v>0</c:v>
                </c:pt>
                <c:pt idx="3">
                  <c:v>0.23640105851220225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53394584"/>
        <c:axId val="353392624"/>
      </c:barChart>
      <c:catAx>
        <c:axId val="353394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2624"/>
        <c:crosses val="autoZero"/>
        <c:auto val="1"/>
        <c:lblAlgn val="ctr"/>
        <c:lblOffset val="100"/>
        <c:noMultiLvlLbl val="0"/>
      </c:catAx>
      <c:valAx>
        <c:axId val="353392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 sz="1100" b="0"/>
                  <a:t>Percent</a:t>
                </a:r>
                <a:r>
                  <a:rPr lang="en-US" sz="1100" b="0" baseline="0"/>
                  <a:t> of Commitment 2040 Investment</a:t>
                </a:r>
                <a:endParaRPr lang="en-US" sz="110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Commitment 2040: Consistency with Goals / Public Outreach </a:t>
            </a:r>
            <a:endParaRPr lang="en-US" sz="1400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Projects and Programs by Goal and Systems Rankings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00" b="0" i="0" baseline="0">
                <a:effectLst/>
              </a:rPr>
              <a:t>"What are the best transportation investments to..." </a:t>
            </a:r>
            <a:r>
              <a:rPr lang="en-US" sz="1000" b="0" i="0" baseline="0">
                <a:solidFill>
                  <a:sysClr val="windowText" lastClr="000000"/>
                </a:solidFill>
                <a:effectLst/>
              </a:rPr>
              <a:t> </a:t>
            </a:r>
            <a:endParaRPr lang="en-US" sz="10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'Analysis-Goals'!$K$14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rgbClr val="0054A4"/>
            </a:solidFill>
            <a:ln>
              <a:noFill/>
            </a:ln>
            <a:effectLst/>
          </c:spPr>
          <c:invertIfNegative val="0"/>
          <c:cat>
            <c:strRef>
              <c:f>'Analysis-Goals'!$J$15:$J$17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'Analysis-Goals'!$K$15:$K$17</c:f>
              <c:numCache>
                <c:formatCode>0%</c:formatCode>
                <c:ptCount val="3"/>
                <c:pt idx="0">
                  <c:v>5.8823529411764705E-2</c:v>
                </c:pt>
                <c:pt idx="1">
                  <c:v>0.15686274509803921</c:v>
                </c:pt>
                <c:pt idx="2">
                  <c:v>1.9607843137254902E-2</c:v>
                </c:pt>
              </c:numCache>
            </c:numRef>
          </c:val>
          <c:extLst/>
        </c:ser>
        <c:ser>
          <c:idx val="1"/>
          <c:order val="1"/>
          <c:tx>
            <c:strRef>
              <c:f>'Analysis-Goals'!$L$14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rgbClr val="009DDC"/>
            </a:solidFill>
            <a:ln>
              <a:noFill/>
            </a:ln>
            <a:effectLst/>
          </c:spPr>
          <c:invertIfNegative val="0"/>
          <c:cat>
            <c:strRef>
              <c:f>'Analysis-Goals'!$J$15:$J$17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'Analysis-Goals'!$L$15:$L$17</c:f>
              <c:numCache>
                <c:formatCode>0%</c:formatCode>
                <c:ptCount val="3"/>
                <c:pt idx="0">
                  <c:v>0.15686274509803921</c:v>
                </c:pt>
                <c:pt idx="1">
                  <c:v>5.8823529411764705E-2</c:v>
                </c:pt>
                <c:pt idx="2">
                  <c:v>5.8823529411764705E-2</c:v>
                </c:pt>
              </c:numCache>
            </c:numRef>
          </c:val>
          <c:extLst/>
        </c:ser>
        <c:ser>
          <c:idx val="2"/>
          <c:order val="2"/>
          <c:tx>
            <c:strRef>
              <c:f>'Analysis-Goals'!$M$14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rgbClr val="B9E0F7"/>
            </a:solidFill>
            <a:ln>
              <a:noFill/>
            </a:ln>
            <a:effectLst/>
          </c:spPr>
          <c:invertIfNegative val="0"/>
          <c:cat>
            <c:strRef>
              <c:f>'Analysis-Goals'!$J$15:$J$17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'Analysis-Goals'!$M$15:$M$17</c:f>
              <c:numCache>
                <c:formatCode>0%</c:formatCode>
                <c:ptCount val="3"/>
                <c:pt idx="0">
                  <c:v>0.27450980392156865</c:v>
                </c:pt>
                <c:pt idx="1">
                  <c:v>0.49019607843137253</c:v>
                </c:pt>
                <c:pt idx="2">
                  <c:v>0.27450980392156865</c:v>
                </c:pt>
              </c:numCache>
            </c:numRef>
          </c:val>
          <c:extLst/>
        </c:ser>
        <c:ser>
          <c:idx val="3"/>
          <c:order val="3"/>
          <c:tx>
            <c:strRef>
              <c:f>'Analysis-Goals'!$N$14</c:f>
              <c:strCache>
                <c:ptCount val="1"/>
                <c:pt idx="0">
                  <c:v>4th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'Analysis-Goals'!$J$15:$J$17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'Analysis-Goals'!$N$15:$N$17</c:f>
              <c:numCache>
                <c:formatCode>0%</c:formatCode>
                <c:ptCount val="3"/>
                <c:pt idx="0">
                  <c:v>0.49019607843137253</c:v>
                </c:pt>
                <c:pt idx="1">
                  <c:v>0.27450980392156865</c:v>
                </c:pt>
                <c:pt idx="2">
                  <c:v>0.15686274509803921</c:v>
                </c:pt>
              </c:numCache>
            </c:numRef>
          </c:val>
          <c:extLst/>
        </c:ser>
        <c:ser>
          <c:idx val="4"/>
          <c:order val="4"/>
          <c:tx>
            <c:strRef>
              <c:f>'Analysis-Goals'!$O$14</c:f>
              <c:strCache>
                <c:ptCount val="1"/>
                <c:pt idx="0">
                  <c:v>5th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'Analysis-Goals'!$J$15:$J$17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'Analysis-Goals'!$O$15:$O$17</c:f>
              <c:numCache>
                <c:formatCode>0%</c:formatCode>
                <c:ptCount val="3"/>
                <c:pt idx="0">
                  <c:v>1.9607843137254902E-2</c:v>
                </c:pt>
                <c:pt idx="1">
                  <c:v>1.9607843137254902E-2</c:v>
                </c:pt>
                <c:pt idx="2">
                  <c:v>0.49019607843137253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394976"/>
        <c:axId val="353393800"/>
      </c:barChart>
      <c:catAx>
        <c:axId val="353394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3800"/>
        <c:crosses val="autoZero"/>
        <c:auto val="1"/>
        <c:lblAlgn val="ctr"/>
        <c:lblOffset val="100"/>
        <c:noMultiLvlLbl val="0"/>
      </c:catAx>
      <c:valAx>
        <c:axId val="3533938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 sz="1100"/>
                  <a:t>Percent</a:t>
                </a:r>
                <a:r>
                  <a:rPr lang="en-US" sz="1100" baseline="0"/>
                  <a:t> of Commitment 2040 Projects</a:t>
                </a:r>
                <a:endParaRPr lang="en-US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Commitment 2040: Impact on the Roadway Network</a:t>
            </a:r>
            <a:endParaRPr lang="en-US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Roadway Projects by Benefit Type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'Analysis-RoadwayImpact'!$J$14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'Analysis-RoadwayImpact'!$I$15:$I$18</c:f>
              <c:strCache>
                <c:ptCount val="4"/>
                <c:pt idx="0">
                  <c:v>Fills Gap in Network</c:v>
                </c:pt>
                <c:pt idx="1">
                  <c:v>Adds Additional Capacity</c:v>
                </c:pt>
                <c:pt idx="2">
                  <c:v>Improves Operations</c:v>
                </c:pt>
                <c:pt idx="3">
                  <c:v>Requires Right-of-Way</c:v>
                </c:pt>
              </c:strCache>
            </c:strRef>
          </c:cat>
          <c:val>
            <c:numRef>
              <c:f>'Analysis-RoadwayImpact'!$J$15:$J$18</c:f>
              <c:numCache>
                <c:formatCode>0%</c:formatCode>
                <c:ptCount val="4"/>
                <c:pt idx="0">
                  <c:v>7.8947368421052627E-2</c:v>
                </c:pt>
                <c:pt idx="1">
                  <c:v>0.36842105263157893</c:v>
                </c:pt>
                <c:pt idx="2">
                  <c:v>0.86842105263157898</c:v>
                </c:pt>
                <c:pt idx="3">
                  <c:v>0.28947368421052633</c:v>
                </c:pt>
              </c:numCache>
            </c:numRef>
          </c:val>
        </c:ser>
        <c:ser>
          <c:idx val="1"/>
          <c:order val="1"/>
          <c:tx>
            <c:strRef>
              <c:f>'Analysis-RoadwayImpact'!$K$14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'Analysis-RoadwayImpact'!$I$15:$I$18</c:f>
              <c:strCache>
                <c:ptCount val="4"/>
                <c:pt idx="0">
                  <c:v>Fills Gap in Network</c:v>
                </c:pt>
                <c:pt idx="1">
                  <c:v>Adds Additional Capacity</c:v>
                </c:pt>
                <c:pt idx="2">
                  <c:v>Improves Operations</c:v>
                </c:pt>
                <c:pt idx="3">
                  <c:v>Requires Right-of-Way</c:v>
                </c:pt>
              </c:strCache>
            </c:strRef>
          </c:cat>
          <c:val>
            <c:numRef>
              <c:f>'Analysis-RoadwayImpact'!$K$15:$K$18</c:f>
              <c:numCache>
                <c:formatCode>0%</c:formatCode>
                <c:ptCount val="4"/>
                <c:pt idx="0">
                  <c:v>0.92105263157894735</c:v>
                </c:pt>
                <c:pt idx="1">
                  <c:v>0.63157894736842102</c:v>
                </c:pt>
                <c:pt idx="2">
                  <c:v>0.13157894736842105</c:v>
                </c:pt>
                <c:pt idx="3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'Analysis-RoadwayImpact'!$L$14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'Analysis-RoadwayImpact'!$I$15:$I$18</c:f>
              <c:strCache>
                <c:ptCount val="4"/>
                <c:pt idx="0">
                  <c:v>Fills Gap in Network</c:v>
                </c:pt>
                <c:pt idx="1">
                  <c:v>Adds Additional Capacity</c:v>
                </c:pt>
                <c:pt idx="2">
                  <c:v>Improves Operations</c:v>
                </c:pt>
                <c:pt idx="3">
                  <c:v>Requires Right-of-Way</c:v>
                </c:pt>
              </c:strCache>
            </c:strRef>
          </c:cat>
          <c:val>
            <c:numRef>
              <c:f>'Analysis-RoadwayImpact'!$L$15:$L$18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0.21052631578947367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387528"/>
        <c:axId val="353393408"/>
      </c:barChart>
      <c:catAx>
        <c:axId val="353387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3408"/>
        <c:crosses val="autoZero"/>
        <c:auto val="1"/>
        <c:lblAlgn val="ctr"/>
        <c:lblOffset val="100"/>
        <c:noMultiLvlLbl val="0"/>
      </c:catAx>
      <c:valAx>
        <c:axId val="35339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/>
                  <a:t>Percent of </a:t>
                </a:r>
                <a:r>
                  <a:rPr lang="en-US" baseline="0"/>
                  <a:t>Commitment 2040 Projects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8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Tw Cen MT" panose="020B0602020104020603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Commitment 2040:</a:t>
            </a:r>
            <a:r>
              <a:rPr lang="en-US" b="1" baseline="0">
                <a:solidFill>
                  <a:sysClr val="windowText" lastClr="000000"/>
                </a:solidFill>
              </a:rPr>
              <a:t> Consistency with Other Plans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Projects included within other Regional Planning Products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'Analysis-OtherPlans'!$I$15</c:f>
              <c:strCache>
                <c:ptCount val="1"/>
                <c:pt idx="0">
                  <c:v>Exact Match</c:v>
                </c:pt>
              </c:strCache>
            </c:strRef>
          </c:tx>
          <c:spPr>
            <a:solidFill>
              <a:srgbClr val="0054A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'Analysis-OtherPlans'!$H$16:$H$19</c:f>
              <c:strCache>
                <c:ptCount val="4"/>
                <c:pt idx="0">
                  <c:v>Transformation 2035 (All Projects)</c:v>
                </c:pt>
                <c:pt idx="1">
                  <c:v>FY 13-14 Unfunded Priorities List (All Projects)</c:v>
                </c:pt>
                <c:pt idx="2">
                  <c:v>2040 Regional Freight Plan (Roadway Only)</c:v>
                </c:pt>
                <c:pt idx="3">
                  <c:v>Broward Connected - TDP (Transit Only)</c:v>
                </c:pt>
              </c:strCache>
            </c:strRef>
          </c:cat>
          <c:val>
            <c:numRef>
              <c:f>'Analysis-OtherPlans'!$I$16:$I$19</c:f>
              <c:numCache>
                <c:formatCode>0%</c:formatCode>
                <c:ptCount val="4"/>
                <c:pt idx="0">
                  <c:v>0.5625</c:v>
                </c:pt>
                <c:pt idx="1">
                  <c:v>0.5625</c:v>
                </c:pt>
                <c:pt idx="2">
                  <c:v>0.44736842105263158</c:v>
                </c:pt>
                <c:pt idx="3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'Analysis-OtherPlans'!$J$15</c:f>
              <c:strCache>
                <c:ptCount val="1"/>
                <c:pt idx="0">
                  <c:v>Partial Match</c:v>
                </c:pt>
              </c:strCache>
            </c:strRef>
          </c:tx>
          <c:spPr>
            <a:solidFill>
              <a:srgbClr val="009D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'Analysis-OtherPlans'!$H$16:$H$19</c:f>
              <c:strCache>
                <c:ptCount val="4"/>
                <c:pt idx="0">
                  <c:v>Transformation 2035 (All Projects)</c:v>
                </c:pt>
                <c:pt idx="1">
                  <c:v>FY 13-14 Unfunded Priorities List (All Projects)</c:v>
                </c:pt>
                <c:pt idx="2">
                  <c:v>2040 Regional Freight Plan (Roadway Only)</c:v>
                </c:pt>
                <c:pt idx="3">
                  <c:v>Broward Connected - TDP (Transit Only)</c:v>
                </c:pt>
              </c:strCache>
            </c:strRef>
          </c:cat>
          <c:val>
            <c:numRef>
              <c:f>'Analysis-OtherPlans'!$J$16:$J$19</c:f>
              <c:numCache>
                <c:formatCode>0%</c:formatCode>
                <c:ptCount val="4"/>
                <c:pt idx="0">
                  <c:v>0.16666666666666666</c:v>
                </c:pt>
                <c:pt idx="1">
                  <c:v>0.14583333333333334</c:v>
                </c:pt>
                <c:pt idx="2">
                  <c:v>2.6315789473684209E-2</c:v>
                </c:pt>
                <c:pt idx="3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'Analysis-OtherPlans'!$K$15</c:f>
              <c:strCache>
                <c:ptCount val="1"/>
                <c:pt idx="0">
                  <c:v>Unique to Commitment 2040</c:v>
                </c:pt>
              </c:strCache>
            </c:strRef>
          </c:tx>
          <c:spPr>
            <a:solidFill>
              <a:srgbClr val="B9E0F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'Analysis-OtherPlans'!$H$16:$H$19</c:f>
              <c:strCache>
                <c:ptCount val="4"/>
                <c:pt idx="0">
                  <c:v>Transformation 2035 (All Projects)</c:v>
                </c:pt>
                <c:pt idx="1">
                  <c:v>FY 13-14 Unfunded Priorities List (All Projects)</c:v>
                </c:pt>
                <c:pt idx="2">
                  <c:v>2040 Regional Freight Plan (Roadway Only)</c:v>
                </c:pt>
                <c:pt idx="3">
                  <c:v>Broward Connected - TDP (Transit Only)</c:v>
                </c:pt>
              </c:strCache>
            </c:strRef>
          </c:cat>
          <c:val>
            <c:numRef>
              <c:f>'Analysis-OtherPlans'!$K$16:$K$19</c:f>
              <c:numCache>
                <c:formatCode>0%</c:formatCode>
                <c:ptCount val="4"/>
                <c:pt idx="0">
                  <c:v>0.27083333333333331</c:v>
                </c:pt>
                <c:pt idx="1">
                  <c:v>0.29166666666666669</c:v>
                </c:pt>
                <c:pt idx="2">
                  <c:v>0.52631578947368418</c:v>
                </c:pt>
                <c:pt idx="3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51466344"/>
        <c:axId val="351473008"/>
      </c:barChart>
      <c:catAx>
        <c:axId val="351466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1473008"/>
        <c:crosses val="autoZero"/>
        <c:auto val="1"/>
        <c:lblAlgn val="ctr"/>
        <c:lblOffset val="100"/>
        <c:noMultiLvlLbl val="0"/>
      </c:catAx>
      <c:valAx>
        <c:axId val="3514730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 sz="1100" b="0"/>
                  <a:t>Percent</a:t>
                </a:r>
                <a:r>
                  <a:rPr lang="en-US" sz="1100" b="0" baseline="0"/>
                  <a:t> of Commitment 2040 Projects</a:t>
                </a:r>
                <a:endParaRPr lang="en-US" sz="110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146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Commitment 2040: Relationship to Current Transit Planning Efforts</a:t>
            </a:r>
            <a:endParaRPr lang="en-US" sz="1400">
              <a:solidFill>
                <a:sysClr val="windowText" lastClr="000000"/>
              </a:solidFill>
              <a:effectLst/>
            </a:endParaRPr>
          </a:p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Transit Projects by Project Development Status 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54A4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009DDC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B9E0F7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In Development</a:t>
                    </a:r>
                    <a:r>
                      <a:rPr lang="en-US" baseline="0"/>
                      <a:t>
</a:t>
                    </a:r>
                    <a:fld id="{3B2FB074-0660-4353-B8E4-A16F47731E1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'Analysis-Transit-ProDev'!$A$20:$A$24</c:f>
              <c:strCache>
                <c:ptCount val="5"/>
                <c:pt idx="0">
                  <c:v>To Be Programmed</c:v>
                </c:pt>
                <c:pt idx="1">
                  <c:v>RFP Developed</c:v>
                </c:pt>
                <c:pt idx="2">
                  <c:v>Corridor Plan - in Process</c:v>
                </c:pt>
                <c:pt idx="3">
                  <c:v>Corridor Plan - Completed</c:v>
                </c:pt>
                <c:pt idx="4">
                  <c:v>EIS/Design</c:v>
                </c:pt>
              </c:strCache>
            </c:strRef>
          </c:cat>
          <c:val>
            <c:numRef>
              <c:f>'Analysis-Transit-ProDev'!$B$20:$B$24</c:f>
              <c:numCache>
                <c:formatCode>"$"#,##0.0</c:formatCode>
                <c:ptCount val="5"/>
                <c:pt idx="0">
                  <c:v>21.5</c:v>
                </c:pt>
                <c:pt idx="1">
                  <c:v>389.9</c:v>
                </c:pt>
                <c:pt idx="2">
                  <c:v>174.3</c:v>
                </c:pt>
                <c:pt idx="3">
                  <c:v>224</c:v>
                </c:pt>
                <c:pt idx="4">
                  <c:v>30.6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13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Tw Cen MT" panose="020B0602020104020603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Commitment 2040: Impact on the Roadway Network</a:t>
            </a:r>
            <a:endParaRPr lang="en-US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Roadway Projects by Benefit Type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'Analysis-RoadwayImpact'!$J$21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'Analysis-RoadwayImpact'!$I$22:$I$25</c:f>
              <c:strCache>
                <c:ptCount val="4"/>
                <c:pt idx="0">
                  <c:v>Fills Gap in Network</c:v>
                </c:pt>
                <c:pt idx="1">
                  <c:v>Adds Additional Capacity</c:v>
                </c:pt>
                <c:pt idx="2">
                  <c:v>Improves Operations</c:v>
                </c:pt>
                <c:pt idx="3">
                  <c:v>Requires Right-of-Way</c:v>
                </c:pt>
              </c:strCache>
            </c:strRef>
          </c:cat>
          <c:val>
            <c:numRef>
              <c:f>'Analysis-RoadwayImpact'!$J$22:$J$25</c:f>
              <c:numCache>
                <c:formatCode>0%</c:formatCode>
                <c:ptCount val="4"/>
                <c:pt idx="0">
                  <c:v>0.19420758600411639</c:v>
                </c:pt>
                <c:pt idx="1">
                  <c:v>0.60952660982064111</c:v>
                </c:pt>
                <c:pt idx="2">
                  <c:v>0.89944134078212301</c:v>
                </c:pt>
                <c:pt idx="3">
                  <c:v>0.55219053219641279</c:v>
                </c:pt>
              </c:numCache>
            </c:numRef>
          </c:val>
        </c:ser>
        <c:ser>
          <c:idx val="1"/>
          <c:order val="1"/>
          <c:tx>
            <c:strRef>
              <c:f>'Analysis-RoadwayImpact'!$K$21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'Analysis-RoadwayImpact'!$I$22:$I$25</c:f>
              <c:strCache>
                <c:ptCount val="4"/>
                <c:pt idx="0">
                  <c:v>Fills Gap in Network</c:v>
                </c:pt>
                <c:pt idx="1">
                  <c:v>Adds Additional Capacity</c:v>
                </c:pt>
                <c:pt idx="2">
                  <c:v>Improves Operations</c:v>
                </c:pt>
                <c:pt idx="3">
                  <c:v>Requires Right-of-Way</c:v>
                </c:pt>
              </c:strCache>
            </c:strRef>
          </c:cat>
          <c:val>
            <c:numRef>
              <c:f>'Analysis-RoadwayImpact'!$K$22:$K$25</c:f>
              <c:numCache>
                <c:formatCode>0%</c:formatCode>
                <c:ptCount val="4"/>
                <c:pt idx="0">
                  <c:v>0.80579241399588353</c:v>
                </c:pt>
                <c:pt idx="1">
                  <c:v>0.390473390179359</c:v>
                </c:pt>
                <c:pt idx="2">
                  <c:v>0.10055865921787709</c:v>
                </c:pt>
                <c:pt idx="3">
                  <c:v>0.28315201411349605</c:v>
                </c:pt>
              </c:numCache>
            </c:numRef>
          </c:val>
        </c:ser>
        <c:ser>
          <c:idx val="2"/>
          <c:order val="2"/>
          <c:tx>
            <c:strRef>
              <c:f>'Analysis-RoadwayImpact'!$L$21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'Analysis-RoadwayImpact'!$I$22:$I$25</c:f>
              <c:strCache>
                <c:ptCount val="4"/>
                <c:pt idx="0">
                  <c:v>Fills Gap in Network</c:v>
                </c:pt>
                <c:pt idx="1">
                  <c:v>Adds Additional Capacity</c:v>
                </c:pt>
                <c:pt idx="2">
                  <c:v>Improves Operations</c:v>
                </c:pt>
                <c:pt idx="3">
                  <c:v>Requires Right-of-Way</c:v>
                </c:pt>
              </c:strCache>
            </c:strRef>
          </c:cat>
          <c:val>
            <c:numRef>
              <c:f>'Analysis-RoadwayImpact'!$L$22:$L$25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0.16465745369009113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472616"/>
        <c:axId val="351472224"/>
      </c:barChart>
      <c:catAx>
        <c:axId val="351472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1472224"/>
        <c:crosses val="autoZero"/>
        <c:auto val="1"/>
        <c:lblAlgn val="ctr"/>
        <c:lblOffset val="100"/>
        <c:noMultiLvlLbl val="0"/>
      </c:catAx>
      <c:valAx>
        <c:axId val="3514722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/>
                  <a:t>Percent of </a:t>
                </a:r>
                <a:r>
                  <a:rPr lang="en-US" baseline="0"/>
                  <a:t>Commitment 2040 Investment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1472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Tw Cen MT" panose="020B0602020104020603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Commitment 2040: Impact on Roadway Network</a:t>
            </a:r>
            <a:endParaRPr lang="en-US" sz="14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Roadway Projects by 2040 SERPM 7.0 E+C Outputs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Congestion Predicted,</a:t>
                    </a:r>
                    <a:r>
                      <a:rPr lang="en-US" sz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t>
</a:t>
                    </a:r>
                    <a:fld id="{642E376F-5227-4CD8-80CE-058A43EAB962}" type="VALUE">
                      <a:rPr lang="en-US" sz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[VALUE]</a:t>
                    </a:fld>
                    <a:endParaRPr lang="en-US" sz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'Analysis-RoadwayImpact'!$I$30:$I$33</c:f>
              <c:strCache>
                <c:ptCount val="4"/>
                <c:pt idx="0">
                  <c:v>Capacity Available</c:v>
                </c:pt>
                <c:pt idx="1">
                  <c:v>At Capacity</c:v>
                </c:pt>
                <c:pt idx="2">
                  <c:v>Over Capacity</c:v>
                </c:pt>
                <c:pt idx="3">
                  <c:v>Severely Congested</c:v>
                </c:pt>
              </c:strCache>
            </c:strRef>
          </c:cat>
          <c:val>
            <c:numRef>
              <c:f>'Analysis-RoadwayImpact'!$J$30:$J$33</c:f>
              <c:numCache>
                <c:formatCode>"$"#,##0.0</c:formatCode>
                <c:ptCount val="4"/>
                <c:pt idx="0">
                  <c:v>152.30000000000001</c:v>
                </c:pt>
                <c:pt idx="1">
                  <c:v>15</c:v>
                </c:pt>
                <c:pt idx="2">
                  <c:v>39.1</c:v>
                </c:pt>
                <c:pt idx="3">
                  <c:v>48.5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8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Tw Cen MT" panose="020B0602020104020603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</a:rPr>
              <a:t>Commitment 2040: Preliminary EJ Analysis (Adverse Effect)</a:t>
            </a:r>
            <a:endParaRPr lang="en-US" sz="12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Projects by Potential Adverse Effect 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'Analysis-EJ'!$J$14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'Analysis-EJ'!$I$15:$I$16</c:f>
              <c:strCache>
                <c:ptCount val="2"/>
                <c:pt idx="0">
                  <c:v>Total Population</c:v>
                </c:pt>
                <c:pt idx="1">
                  <c:v>Maxium Possible EJ Population</c:v>
                </c:pt>
              </c:strCache>
            </c:strRef>
          </c:cat>
          <c:val>
            <c:numRef>
              <c:f>'Analysis-EJ'!$J$15:$J$16</c:f>
              <c:numCache>
                <c:formatCode>0%</c:formatCode>
                <c:ptCount val="2"/>
                <c:pt idx="0">
                  <c:v>0.14705737343976027</c:v>
                </c:pt>
                <c:pt idx="1">
                  <c:v>0.12819723673000619</c:v>
                </c:pt>
              </c:numCache>
            </c:numRef>
          </c:val>
        </c:ser>
        <c:ser>
          <c:idx val="1"/>
          <c:order val="1"/>
          <c:tx>
            <c:strRef>
              <c:f>'Analysis-EJ'!$K$14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'Analysis-EJ'!$I$15:$I$16</c:f>
              <c:strCache>
                <c:ptCount val="2"/>
                <c:pt idx="0">
                  <c:v>Total Population</c:v>
                </c:pt>
                <c:pt idx="1">
                  <c:v>Maxium Possible EJ Population</c:v>
                </c:pt>
              </c:strCache>
            </c:strRef>
          </c:cat>
          <c:val>
            <c:numRef>
              <c:f>'Analysis-EJ'!$K$15:$K$16</c:f>
              <c:numCache>
                <c:formatCode>0%</c:formatCode>
                <c:ptCount val="2"/>
                <c:pt idx="0">
                  <c:v>0.85294262656023978</c:v>
                </c:pt>
                <c:pt idx="1">
                  <c:v>0.87180276326999373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390664"/>
        <c:axId val="353389096"/>
      </c:barChart>
      <c:catAx>
        <c:axId val="353390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89096"/>
        <c:crosses val="autoZero"/>
        <c:auto val="1"/>
        <c:lblAlgn val="ctr"/>
        <c:lblOffset val="100"/>
        <c:noMultiLvlLbl val="0"/>
      </c:catAx>
      <c:valAx>
        <c:axId val="353389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/>
                  <a:t>Percent of Population</a:t>
                </a:r>
                <a:r>
                  <a:rPr lang="en-US" baseline="0"/>
                  <a:t> by Potential Adverse Effect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0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Tw Cen MT" panose="020B0602020104020603" pitchFamily="34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Commitment 2040: Consistency with Goals / Public Outreach </a:t>
            </a:r>
            <a:endParaRPr lang="en-US" sz="14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effectLst/>
              </a:rPr>
              <a:t>Financially Feasible Projects and Programs by Goal and Systems Rankings</a:t>
            </a:r>
            <a:endParaRPr lang="en-US" sz="1200"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000" b="0" i="0" baseline="0">
                <a:solidFill>
                  <a:sysClr val="windowText" lastClr="000000"/>
                </a:solidFill>
                <a:effectLst/>
              </a:rPr>
              <a:t>"What are the best transportation investments to..." </a:t>
            </a:r>
            <a:endParaRPr lang="en-US" sz="10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'Analysis-Goals'!$K$24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rgbClr val="0054A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EA5B443-6F31-482F-8FFA-EF8CDD3DEF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64D86F-6E8A-4D5B-B455-B0CA264A44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54C62A-CD87-4E58-B5F8-34708B9A7C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'Analysis-Goals'!$J$25:$J$27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'Analysis-Goals'!$K$25:$K$27</c:f>
              <c:numCache>
                <c:formatCode>0%</c:formatCode>
                <c:ptCount val="3"/>
                <c:pt idx="0">
                  <c:v>0.10840781989388654</c:v>
                </c:pt>
                <c:pt idx="1">
                  <c:v>0.38430285359208455</c:v>
                </c:pt>
                <c:pt idx="2">
                  <c:v>9.1104631709765307E-2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'Analysis-Goals'!$K$35:$K$37</c15:f>
                <c15:dlblRangeCache>
                  <c:ptCount val="3"/>
                  <c:pt idx="0">
                    <c:v>Local Transit</c:v>
                  </c:pt>
                  <c:pt idx="1">
                    <c:v>Regional Transit</c:v>
                  </c:pt>
                  <c:pt idx="2">
                    <c:v>Bike/Ped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'Analysis-Goals'!$L$24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rgbClr val="009DD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effectLst>
                          <a:outerShdw blurRad="50800" dist="38100" algn="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fld id="{61AC7E76-FD64-419E-8961-0317552B3761}" type="CELLRANGE">
                      <a:rPr lang="en-US"/>
                      <a:pPr>
                        <a:defRPr sz="800">
                          <a:solidFill>
                            <a:schemeClr val="bg1"/>
                          </a:solidFill>
                          <a:effectLst>
                            <a:outerShdw blurRad="50800" dist="38100" algn="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effectLst>
                        <a:outerShdw blurRad="50800" dist="38100" algn="l" rotWithShape="0">
                          <a:prstClr val="black">
                            <a:alpha val="40000"/>
                          </a:prstClr>
                        </a:outerShdw>
                      </a:effectLst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effectLst>
                          <a:outerShdw blurRad="50800" dist="38100" algn="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fld id="{26740DED-D945-4CE0-A4A3-744D8DA4FDCC}" type="CELLRANGE">
                      <a:rPr lang="en-US"/>
                      <a:pPr>
                        <a:defRPr sz="800">
                          <a:solidFill>
                            <a:schemeClr val="bg1"/>
                          </a:solidFill>
                          <a:effectLst>
                            <a:outerShdw blurRad="50800" dist="38100" algn="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effectLst>
                        <a:outerShdw blurRad="50800" dist="38100" algn="l" rotWithShape="0">
                          <a:prstClr val="black">
                            <a:alpha val="40000"/>
                          </a:prstClr>
                        </a:outerShdw>
                      </a:effectLst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effectLst>
                          <a:outerShdw blurRad="50800" dist="38100" algn="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fld id="{42BDC41C-18B2-4B1F-B2CE-F2C5B99788D3}" type="CELLRANGE">
                      <a:rPr lang="en-US"/>
                      <a:pPr>
                        <a:defRPr sz="800">
                          <a:solidFill>
                            <a:schemeClr val="bg1"/>
                          </a:solidFill>
                          <a:effectLst>
                            <a:outerShdw blurRad="50800" dist="38100" algn="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effectLst>
                        <a:outerShdw blurRad="50800" dist="38100" algn="l" rotWithShape="0">
                          <a:prstClr val="black">
                            <a:alpha val="40000"/>
                          </a:prstClr>
                        </a:outerShdw>
                      </a:effectLst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'Analysis-Goals'!$J$25:$J$27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'Analysis-Goals'!$L$25:$L$27</c:f>
              <c:numCache>
                <c:formatCode>0%</c:formatCode>
                <c:ptCount val="3"/>
                <c:pt idx="0">
                  <c:v>0.38430285359208455</c:v>
                </c:pt>
                <c:pt idx="1">
                  <c:v>0.10840781989388654</c:v>
                </c:pt>
                <c:pt idx="2">
                  <c:v>0.10840781989388654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'Analysis-Goals'!$L$35:$L$37</c15:f>
                <c15:dlblRangeCache>
                  <c:ptCount val="3"/>
                  <c:pt idx="0">
                    <c:v>Regional Transit</c:v>
                  </c:pt>
                  <c:pt idx="1">
                    <c:v>Local Transit</c:v>
                  </c:pt>
                  <c:pt idx="2">
                    <c:v>Local Transit</c:v>
                  </c:pt>
                </c15:dlblRangeCache>
              </c15:datalabelsRange>
            </c:ext>
          </c:extLst>
        </c:ser>
        <c:ser>
          <c:idx val="2"/>
          <c:order val="2"/>
          <c:tx>
            <c:strRef>
              <c:f>'Analysis-Goals'!$M$24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rgbClr val="B9E0F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2581CB4-BACB-4D8D-8F30-8A50FF0538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C1C624-EE3A-4A49-B7C4-DCA2AD5A2A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2D7D2B9-5F9A-4362-AE78-DD66DCD5B9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'Analysis-Goals'!$J$25:$J$27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'Analysis-Goals'!$M$25:$M$27</c:f>
              <c:numCache>
                <c:formatCode>0%</c:formatCode>
                <c:ptCount val="3"/>
                <c:pt idx="0">
                  <c:v>0.16777400697863395</c:v>
                </c:pt>
                <c:pt idx="1">
                  <c:v>0.24841068782562978</c:v>
                </c:pt>
                <c:pt idx="2">
                  <c:v>0.16777400697863395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'Analysis-Goals'!$M$35:$M$37</c15:f>
                <c15:dlblRangeCache>
                  <c:ptCount val="3"/>
                  <c:pt idx="0">
                    <c:v>Local Roadways</c:v>
                  </c:pt>
                  <c:pt idx="1">
                    <c:v>Regional Roadways</c:v>
                  </c:pt>
                  <c:pt idx="2">
                    <c:v>Local Roadways</c:v>
                  </c:pt>
                </c15:dlblRangeCache>
              </c15:datalabelsRange>
            </c:ext>
          </c:extLst>
        </c:ser>
        <c:ser>
          <c:idx val="3"/>
          <c:order val="3"/>
          <c:tx>
            <c:strRef>
              <c:f>'Analysis-Goals'!$N$24</c:f>
              <c:strCache>
                <c:ptCount val="1"/>
                <c:pt idx="0">
                  <c:v>4th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FDB5781-F960-4BAA-825C-96336BBB32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CEF004-3481-4683-874A-553900A2DF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BA3BE9F-6507-4FFA-B89C-DFC61E32B6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'Analysis-Goals'!$J$25:$J$27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'Analysis-Goals'!$N$25:$N$27</c:f>
              <c:numCache>
                <c:formatCode>0%</c:formatCode>
                <c:ptCount val="3"/>
                <c:pt idx="0">
                  <c:v>0.24841068782562978</c:v>
                </c:pt>
                <c:pt idx="1">
                  <c:v>0.16777400697863395</c:v>
                </c:pt>
                <c:pt idx="2">
                  <c:v>0.38430285359208455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'Analysis-Goals'!$N$35:$N$37</c15:f>
                <c15:dlblRangeCache>
                  <c:ptCount val="3"/>
                  <c:pt idx="0">
                    <c:v>Regional Roadways</c:v>
                  </c:pt>
                  <c:pt idx="1">
                    <c:v>Local Roadways</c:v>
                  </c:pt>
                  <c:pt idx="2">
                    <c:v>Regional Transit</c:v>
                  </c:pt>
                </c15:dlblRangeCache>
              </c15:datalabelsRange>
            </c:ext>
          </c:extLst>
        </c:ser>
        <c:ser>
          <c:idx val="4"/>
          <c:order val="4"/>
          <c:tx>
            <c:strRef>
              <c:f>'Analysis-Goals'!$O$24</c:f>
              <c:strCache>
                <c:ptCount val="1"/>
                <c:pt idx="0">
                  <c:v>5th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453ACE9-7E65-4A2B-A477-F71096FE11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4705A78-35F8-40DE-A038-DA55CAB6E7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64C9C81-B825-4114-9F62-8DE3598DD0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'Analysis-Goals'!$J$25:$J$27</c:f>
              <c:strCache>
                <c:ptCount val="3"/>
                <c:pt idx="0">
                  <c:v>Move People</c:v>
                </c:pt>
                <c:pt idx="1">
                  <c:v>Create Jobs</c:v>
                </c:pt>
                <c:pt idx="2">
                  <c:v>Strengthen Communities</c:v>
                </c:pt>
              </c:strCache>
            </c:strRef>
          </c:cat>
          <c:val>
            <c:numRef>
              <c:f>'Analysis-Goals'!$O$25:$O$27</c:f>
              <c:numCache>
                <c:formatCode>0%</c:formatCode>
                <c:ptCount val="3"/>
                <c:pt idx="0">
                  <c:v>9.1104631709765307E-2</c:v>
                </c:pt>
                <c:pt idx="1">
                  <c:v>9.1104631709765307E-2</c:v>
                </c:pt>
                <c:pt idx="2">
                  <c:v>0.24841068782562978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'Analysis-Goals'!$O$35:$O$37</c15:f>
                <c15:dlblRangeCache>
                  <c:ptCount val="3"/>
                  <c:pt idx="0">
                    <c:v>Bike/Ped</c:v>
                  </c:pt>
                  <c:pt idx="1">
                    <c:v>Bike/Ped</c:v>
                  </c:pt>
                  <c:pt idx="2">
                    <c:v>Regional Roadways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3391448"/>
        <c:axId val="353394192"/>
      </c:barChart>
      <c:catAx>
        <c:axId val="353391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4192"/>
        <c:crosses val="autoZero"/>
        <c:auto val="1"/>
        <c:lblAlgn val="ctr"/>
        <c:lblOffset val="100"/>
        <c:noMultiLvlLbl val="0"/>
      </c:catAx>
      <c:valAx>
        <c:axId val="3533941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 sz="1100"/>
                  <a:t>Percent</a:t>
                </a:r>
                <a:r>
                  <a:rPr lang="en-US" sz="1100" baseline="0"/>
                  <a:t> of Commitment 2040 Investment</a:t>
                </a:r>
                <a:endParaRPr lang="en-US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0054A4"/>
            </a:solidFill>
          </c:spPr>
          <c:dPt>
            <c:idx val="0"/>
            <c:bubble3D val="0"/>
            <c:spPr>
              <a:solidFill>
                <a:srgbClr val="009DDC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0054A4"/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'Analysis-ByType-All'!$I$15:$I$16</c:f>
              <c:strCache>
                <c:ptCount val="2"/>
                <c:pt idx="0">
                  <c:v>Transit</c:v>
                </c:pt>
                <c:pt idx="1">
                  <c:v>Roadway</c:v>
                </c:pt>
              </c:strCache>
            </c:strRef>
          </c:cat>
          <c:val>
            <c:numRef>
              <c:f>'Analysis-ByType-All'!$K$15:$K$16</c:f>
              <c:numCache>
                <c:formatCode>0%</c:formatCode>
                <c:ptCount val="2"/>
                <c:pt idx="0">
                  <c:v>0.55264715554094046</c:v>
                </c:pt>
                <c:pt idx="1">
                  <c:v>0.44735284445905965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w Cen MT" panose="020B0602020104020603" pitchFamily="34" charset="0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Commitment 2040: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sz="1400" b="1" i="0" u="none" strike="noStrike" baseline="0">
                <a:effectLst/>
              </a:rPr>
              <a:t>Consistency </a:t>
            </a:r>
            <a:r>
              <a:rPr lang="en-US" b="1" baseline="0">
                <a:solidFill>
                  <a:sysClr val="windowText" lastClr="000000"/>
                </a:solidFill>
              </a:rPr>
              <a:t>with Other Plans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Financially Feasible Major Capital Projects included within other Regional Planning Products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'Analysis-OtherPlans'!$I$24</c:f>
              <c:strCache>
                <c:ptCount val="1"/>
                <c:pt idx="0">
                  <c:v>Exact Match</c:v>
                </c:pt>
              </c:strCache>
            </c:strRef>
          </c:tx>
          <c:spPr>
            <a:solidFill>
              <a:srgbClr val="0054A4"/>
            </a:solidFill>
            <a:ln>
              <a:noFill/>
            </a:ln>
            <a:effectLst/>
          </c:spPr>
          <c:invertIfNegative val="0"/>
          <c:cat>
            <c:strRef>
              <c:f>'Analysis-OtherPlans'!$H$25:$H$28</c:f>
              <c:strCache>
                <c:ptCount val="4"/>
                <c:pt idx="0">
                  <c:v>Transformation 2035 (All Projects)</c:v>
                </c:pt>
                <c:pt idx="1">
                  <c:v>FY 13-14 Unfunded Priorities List (All Projects)</c:v>
                </c:pt>
                <c:pt idx="2">
                  <c:v>2040 Regional Freight Plan (Roadway Only)</c:v>
                </c:pt>
                <c:pt idx="3">
                  <c:v>Broward Connected - TDP (Transit Only)</c:v>
                </c:pt>
              </c:strCache>
            </c:strRef>
          </c:cat>
          <c:val>
            <c:numRef>
              <c:f>'Analysis-OtherPlans'!$I$25:$I$28</c:f>
              <c:numCache>
                <c:formatCode>0%</c:formatCode>
                <c:ptCount val="4"/>
                <c:pt idx="0">
                  <c:v>0.38750411048997041</c:v>
                </c:pt>
                <c:pt idx="1">
                  <c:v>0.45669187767181846</c:v>
                </c:pt>
                <c:pt idx="2">
                  <c:v>0.49838282857982952</c:v>
                </c:pt>
                <c:pt idx="3">
                  <c:v>0.98131619659645375</c:v>
                </c:pt>
              </c:numCache>
            </c:numRef>
          </c:val>
        </c:ser>
        <c:ser>
          <c:idx val="1"/>
          <c:order val="1"/>
          <c:tx>
            <c:strRef>
              <c:f>'Analysis-OtherPlans'!$J$24</c:f>
              <c:strCache>
                <c:ptCount val="1"/>
                <c:pt idx="0">
                  <c:v>Partial Match</c:v>
                </c:pt>
              </c:strCache>
            </c:strRef>
          </c:tx>
          <c:spPr>
            <a:solidFill>
              <a:srgbClr val="009DDC"/>
            </a:solidFill>
            <a:ln>
              <a:noFill/>
            </a:ln>
            <a:effectLst/>
          </c:spPr>
          <c:invertIfNegative val="0"/>
          <c:cat>
            <c:strRef>
              <c:f>'Analysis-OtherPlans'!$H$25:$H$28</c:f>
              <c:strCache>
                <c:ptCount val="4"/>
                <c:pt idx="0">
                  <c:v>Transformation 2035 (All Projects)</c:v>
                </c:pt>
                <c:pt idx="1">
                  <c:v>FY 13-14 Unfunded Priorities List (All Projects)</c:v>
                </c:pt>
                <c:pt idx="2">
                  <c:v>2040 Regional Freight Plan (Roadway Only)</c:v>
                </c:pt>
                <c:pt idx="3">
                  <c:v>Broward Connected - TDP (Transit Only)</c:v>
                </c:pt>
              </c:strCache>
            </c:strRef>
          </c:cat>
          <c:val>
            <c:numRef>
              <c:f>'Analysis-OtherPlans'!$J$25:$J$28</c:f>
              <c:numCache>
                <c:formatCode>0%</c:formatCode>
                <c:ptCount val="4"/>
                <c:pt idx="0">
                  <c:v>0.52877342979283126</c:v>
                </c:pt>
                <c:pt idx="1">
                  <c:v>0.4375534363696153</c:v>
                </c:pt>
                <c:pt idx="2">
                  <c:v>8.8209350191120251E-4</c:v>
                </c:pt>
                <c:pt idx="3">
                  <c:v>7.0213019159823878E-3</c:v>
                </c:pt>
              </c:numCache>
            </c:numRef>
          </c:val>
        </c:ser>
        <c:ser>
          <c:idx val="2"/>
          <c:order val="2"/>
          <c:tx>
            <c:strRef>
              <c:f>'Analysis-OtherPlans'!$K$24</c:f>
              <c:strCache>
                <c:ptCount val="1"/>
                <c:pt idx="0">
                  <c:v>Unique to Commitment 2040</c:v>
                </c:pt>
              </c:strCache>
            </c:strRef>
          </c:tx>
          <c:spPr>
            <a:solidFill>
              <a:srgbClr val="B9E0F7"/>
            </a:solidFill>
            <a:ln>
              <a:noFill/>
            </a:ln>
            <a:effectLst/>
          </c:spPr>
          <c:invertIfNegative val="0"/>
          <c:cat>
            <c:strRef>
              <c:f>'Analysis-OtherPlans'!$H$25:$H$28</c:f>
              <c:strCache>
                <c:ptCount val="4"/>
                <c:pt idx="0">
                  <c:v>Transformation 2035 (All Projects)</c:v>
                </c:pt>
                <c:pt idx="1">
                  <c:v>FY 13-14 Unfunded Priorities List (All Projects)</c:v>
                </c:pt>
                <c:pt idx="2">
                  <c:v>2040 Regional Freight Plan (Roadway Only)</c:v>
                </c:pt>
                <c:pt idx="3">
                  <c:v>Broward Connected - TDP (Transit Only)</c:v>
                </c:pt>
              </c:strCache>
            </c:strRef>
          </c:cat>
          <c:val>
            <c:numRef>
              <c:f>'Analysis-OtherPlans'!$K$25:$K$28</c:f>
              <c:numCache>
                <c:formatCode>0%</c:formatCode>
                <c:ptCount val="4"/>
                <c:pt idx="0">
                  <c:v>8.37224597171983E-2</c:v>
                </c:pt>
                <c:pt idx="1">
                  <c:v>0.10575468595856627</c:v>
                </c:pt>
                <c:pt idx="2">
                  <c:v>0.50073507791825933</c:v>
                </c:pt>
                <c:pt idx="3">
                  <c:v>1.1662501487563967E-2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53392232"/>
        <c:axId val="353388704"/>
      </c:barChart>
      <c:catAx>
        <c:axId val="353392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88704"/>
        <c:crosses val="autoZero"/>
        <c:auto val="1"/>
        <c:lblAlgn val="ctr"/>
        <c:lblOffset val="100"/>
        <c:noMultiLvlLbl val="0"/>
      </c:catAx>
      <c:valAx>
        <c:axId val="3533887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 sz="1100" b="0"/>
                  <a:t>Percent</a:t>
                </a:r>
                <a:r>
                  <a:rPr lang="en-US" sz="1100" b="0" baseline="0"/>
                  <a:t> of Commitment 2040 Investment</a:t>
                </a:r>
                <a:endParaRPr lang="en-US" sz="1100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5339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21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21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21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1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0" workbookViewId="0" zoomToFit="1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2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21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9525</xdr:rowOff>
    </xdr:from>
    <xdr:to>
      <xdr:col>3</xdr:col>
      <xdr:colOff>1020907</xdr:colOff>
      <xdr:row>4</xdr:row>
      <xdr:rowOff>125903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9525"/>
          <a:ext cx="2535382" cy="91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302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302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302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302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302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4835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9525</xdr:rowOff>
    </xdr:from>
    <xdr:to>
      <xdr:col>3</xdr:col>
      <xdr:colOff>1020907</xdr:colOff>
      <xdr:row>4</xdr:row>
      <xdr:rowOff>125903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9525"/>
          <a:ext cx="2535382" cy="91647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401782</xdr:colOff>
      <xdr:row>4</xdr:row>
      <xdr:rowOff>116378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2535382" cy="91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401782</xdr:colOff>
      <xdr:row>4</xdr:row>
      <xdr:rowOff>116378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0"/>
          <a:ext cx="2535382" cy="91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268432</xdr:colOff>
      <xdr:row>4</xdr:row>
      <xdr:rowOff>116378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2535382" cy="91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4</xdr:col>
      <xdr:colOff>401782</xdr:colOff>
      <xdr:row>4</xdr:row>
      <xdr:rowOff>116378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2535382" cy="91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401782</xdr:colOff>
      <xdr:row>4</xdr:row>
      <xdr:rowOff>116378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0"/>
          <a:ext cx="2535382" cy="91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401782</xdr:colOff>
      <xdr:row>4</xdr:row>
      <xdr:rowOff>116378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0"/>
          <a:ext cx="2535382" cy="91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302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I53"/>
  <sheetViews>
    <sheetView showGridLines="0" tabSelected="1" zoomScaleNormal="100" workbookViewId="0">
      <pane xSplit="5" ySplit="2" topLeftCell="H3" activePane="bottomRight" state="frozen"/>
      <selection pane="topRight" activeCell="E1" sqref="E1"/>
      <selection pane="bottomLeft" activeCell="A3" sqref="A3"/>
      <selection pane="bottomRight" activeCell="M22" sqref="M22:N25"/>
    </sheetView>
  </sheetViews>
  <sheetFormatPr defaultRowHeight="15.75" x14ac:dyDescent="0.25"/>
  <cols>
    <col min="1" max="1" width="7.5703125" style="14" hidden="1" customWidth="1"/>
    <col min="2" max="2" width="7.5703125" style="14" customWidth="1"/>
    <col min="3" max="3" width="5.85546875" style="14" bestFit="1" customWidth="1"/>
    <col min="4" max="4" width="24.85546875" style="14" bestFit="1" customWidth="1"/>
    <col min="5" max="5" width="65.42578125" style="14" customWidth="1"/>
    <col min="6" max="6" width="72.7109375" style="14" customWidth="1"/>
    <col min="7" max="7" width="55.42578125" style="14" bestFit="1" customWidth="1"/>
    <col min="8" max="8" width="8.28515625" style="14" bestFit="1" customWidth="1"/>
    <col min="9" max="9" width="14.140625" style="14" customWidth="1"/>
    <col min="10" max="10" width="96.42578125" style="14" hidden="1" customWidth="1"/>
    <col min="11" max="35" width="12.7109375" style="14" customWidth="1"/>
    <col min="36" max="16384" width="9.140625" style="14"/>
  </cols>
  <sheetData>
    <row r="1" spans="1:35" x14ac:dyDescent="0.25">
      <c r="A1" s="15" t="s">
        <v>302</v>
      </c>
      <c r="B1" s="15"/>
      <c r="C1" s="15"/>
      <c r="D1" s="15"/>
      <c r="E1" s="15"/>
      <c r="F1" s="15"/>
      <c r="G1" s="15"/>
      <c r="H1" s="15"/>
      <c r="I1" s="15"/>
      <c r="J1" s="16" t="s">
        <v>33</v>
      </c>
      <c r="K1" s="135" t="s">
        <v>162</v>
      </c>
      <c r="L1" s="135"/>
      <c r="M1" s="135"/>
      <c r="N1" s="135"/>
      <c r="O1" s="136" t="s">
        <v>120</v>
      </c>
      <c r="P1" s="136"/>
      <c r="Q1" s="135" t="s">
        <v>119</v>
      </c>
      <c r="R1" s="135"/>
      <c r="S1" s="136" t="s">
        <v>127</v>
      </c>
      <c r="T1" s="136"/>
      <c r="U1" s="135" t="s">
        <v>121</v>
      </c>
      <c r="V1" s="135"/>
      <c r="W1" s="135"/>
      <c r="X1" s="135"/>
      <c r="Y1" s="135" t="s">
        <v>198</v>
      </c>
      <c r="Z1" s="135"/>
      <c r="AA1" s="135"/>
      <c r="AB1" s="135"/>
      <c r="AC1" s="135" t="s">
        <v>199</v>
      </c>
      <c r="AD1" s="135"/>
      <c r="AE1" s="135" t="s">
        <v>206</v>
      </c>
      <c r="AF1" s="135"/>
      <c r="AG1" s="135"/>
      <c r="AH1" s="135"/>
      <c r="AI1" s="135"/>
    </row>
    <row r="2" spans="1:35" x14ac:dyDescent="0.25">
      <c r="A2" s="15" t="s">
        <v>31</v>
      </c>
      <c r="B2" s="15" t="s">
        <v>31</v>
      </c>
      <c r="C2" s="15" t="s">
        <v>28</v>
      </c>
      <c r="D2" s="15" t="s">
        <v>0</v>
      </c>
      <c r="E2" s="15" t="s">
        <v>1</v>
      </c>
      <c r="F2" s="15" t="s">
        <v>32</v>
      </c>
      <c r="G2" s="15" t="s">
        <v>2</v>
      </c>
      <c r="H2" s="15" t="s">
        <v>22</v>
      </c>
      <c r="I2" s="15" t="s">
        <v>23</v>
      </c>
      <c r="J2" s="16"/>
      <c r="K2" s="52" t="s">
        <v>122</v>
      </c>
      <c r="L2" s="52" t="s">
        <v>180</v>
      </c>
      <c r="M2" s="126" t="s">
        <v>348</v>
      </c>
      <c r="N2" s="126" t="s">
        <v>238</v>
      </c>
      <c r="O2" s="18" t="s">
        <v>122</v>
      </c>
      <c r="P2" s="18" t="s">
        <v>124</v>
      </c>
      <c r="Q2" s="17" t="s">
        <v>122</v>
      </c>
      <c r="R2" s="17" t="s">
        <v>123</v>
      </c>
      <c r="S2" s="18" t="s">
        <v>122</v>
      </c>
      <c r="T2" s="18" t="s">
        <v>28</v>
      </c>
      <c r="U2" s="63" t="s">
        <v>284</v>
      </c>
      <c r="V2" s="63" t="s">
        <v>285</v>
      </c>
      <c r="W2" s="63" t="s">
        <v>287</v>
      </c>
      <c r="X2" s="62" t="s">
        <v>286</v>
      </c>
      <c r="Y2" s="62" t="s">
        <v>277</v>
      </c>
      <c r="Z2" s="53" t="s">
        <v>195</v>
      </c>
      <c r="AA2" s="53" t="s">
        <v>196</v>
      </c>
      <c r="AB2" s="53" t="s">
        <v>197</v>
      </c>
      <c r="AC2" s="55" t="s">
        <v>200</v>
      </c>
      <c r="AD2" s="55" t="s">
        <v>201</v>
      </c>
      <c r="AE2" s="55" t="s">
        <v>225</v>
      </c>
      <c r="AF2" s="55" t="s">
        <v>226</v>
      </c>
      <c r="AG2" s="55" t="s">
        <v>227</v>
      </c>
      <c r="AH2" s="55" t="s">
        <v>204</v>
      </c>
      <c r="AI2" s="55" t="s">
        <v>205</v>
      </c>
    </row>
    <row r="3" spans="1:35" ht="13.5" customHeight="1" x14ac:dyDescent="0.25">
      <c r="A3" s="4">
        <v>1</v>
      </c>
      <c r="B3" s="4">
        <v>1</v>
      </c>
      <c r="C3" s="2" t="s">
        <v>29</v>
      </c>
      <c r="D3" s="5" t="s">
        <v>26</v>
      </c>
      <c r="E3" s="4" t="s">
        <v>3</v>
      </c>
      <c r="F3" s="1" t="s">
        <v>35</v>
      </c>
      <c r="G3" s="4" t="s">
        <v>91</v>
      </c>
      <c r="H3" s="6">
        <v>30.6</v>
      </c>
      <c r="I3" s="3" t="s">
        <v>34</v>
      </c>
      <c r="J3" s="1" t="s">
        <v>36</v>
      </c>
      <c r="K3" s="11" t="s">
        <v>113</v>
      </c>
      <c r="L3" s="11" t="s">
        <v>163</v>
      </c>
      <c r="M3" s="11" t="e">
        <f>NA()</f>
        <v>#N/A</v>
      </c>
      <c r="N3" s="11" t="e">
        <f>NA()</f>
        <v>#N/A</v>
      </c>
      <c r="O3" s="11" t="s">
        <v>113</v>
      </c>
      <c r="P3" s="11">
        <v>3</v>
      </c>
      <c r="Q3" s="11" t="s">
        <v>112</v>
      </c>
      <c r="R3" s="11" t="s">
        <v>131</v>
      </c>
      <c r="S3" s="11" t="s">
        <v>113</v>
      </c>
      <c r="T3" s="11" t="s">
        <v>130</v>
      </c>
      <c r="U3" s="65">
        <v>11512.4607116809</v>
      </c>
      <c r="V3" s="65">
        <v>9218.6707087533905</v>
      </c>
      <c r="W3" s="11" t="s">
        <v>131</v>
      </c>
      <c r="X3" s="11" t="s">
        <v>113</v>
      </c>
      <c r="Y3" s="11" t="s">
        <v>280</v>
      </c>
      <c r="Z3" s="11">
        <v>1</v>
      </c>
      <c r="AA3" s="11">
        <v>2</v>
      </c>
      <c r="AB3" s="11">
        <v>2</v>
      </c>
      <c r="AC3" s="11" t="s">
        <v>113</v>
      </c>
      <c r="AD3" s="11" t="s">
        <v>202</v>
      </c>
      <c r="AE3" s="11" t="s">
        <v>131</v>
      </c>
      <c r="AF3" s="11" t="s">
        <v>131</v>
      </c>
      <c r="AG3" s="11" t="s">
        <v>131</v>
      </c>
      <c r="AH3" s="11" t="s">
        <v>131</v>
      </c>
      <c r="AI3" s="11" t="s">
        <v>131</v>
      </c>
    </row>
    <row r="4" spans="1:35" ht="13.5" customHeight="1" x14ac:dyDescent="0.25">
      <c r="A4" s="4">
        <v>2</v>
      </c>
      <c r="B4" s="4">
        <v>2</v>
      </c>
      <c r="C4" s="2" t="s">
        <v>30</v>
      </c>
      <c r="D4" s="4" t="s">
        <v>303</v>
      </c>
      <c r="E4" s="4" t="s">
        <v>181</v>
      </c>
      <c r="F4" s="4" t="s">
        <v>37</v>
      </c>
      <c r="G4" s="4" t="s">
        <v>304</v>
      </c>
      <c r="H4" s="6">
        <v>23.1</v>
      </c>
      <c r="I4" s="3" t="s">
        <v>34</v>
      </c>
      <c r="J4" s="1"/>
      <c r="K4" s="11" t="s">
        <v>113</v>
      </c>
      <c r="L4" s="11" t="s">
        <v>305</v>
      </c>
      <c r="M4" s="11">
        <v>9</v>
      </c>
      <c r="N4" s="11">
        <v>7</v>
      </c>
      <c r="O4" s="11" t="s">
        <v>113</v>
      </c>
      <c r="P4" s="11">
        <v>16</v>
      </c>
      <c r="Q4" s="11" t="s">
        <v>113</v>
      </c>
      <c r="R4" s="11">
        <v>2065</v>
      </c>
      <c r="S4" s="11" t="s">
        <v>131</v>
      </c>
      <c r="T4" s="11" t="s">
        <v>131</v>
      </c>
      <c r="U4" s="65">
        <v>6790.01398859853</v>
      </c>
      <c r="V4" s="65">
        <v>4526.7809341091906</v>
      </c>
      <c r="W4" s="11" t="s">
        <v>131</v>
      </c>
      <c r="X4" s="11" t="s">
        <v>113</v>
      </c>
      <c r="Y4" s="11" t="s">
        <v>279</v>
      </c>
      <c r="Z4" s="11">
        <v>4</v>
      </c>
      <c r="AA4" s="11">
        <v>3</v>
      </c>
      <c r="AB4" s="11">
        <v>5</v>
      </c>
      <c r="AC4" s="11" t="s">
        <v>131</v>
      </c>
      <c r="AD4" s="11" t="s">
        <v>131</v>
      </c>
      <c r="AE4" s="11" t="s">
        <v>112</v>
      </c>
      <c r="AF4" s="11" t="s">
        <v>112</v>
      </c>
      <c r="AG4" s="11" t="s">
        <v>131</v>
      </c>
      <c r="AH4" s="11" t="s">
        <v>112</v>
      </c>
      <c r="AI4" s="11" t="s">
        <v>207</v>
      </c>
    </row>
    <row r="5" spans="1:35" ht="13.5" customHeight="1" x14ac:dyDescent="0.25">
      <c r="A5" s="4">
        <v>4</v>
      </c>
      <c r="B5" s="4">
        <v>3</v>
      </c>
      <c r="C5" s="2" t="s">
        <v>30</v>
      </c>
      <c r="D5" s="4" t="s">
        <v>6</v>
      </c>
      <c r="E5" s="4" t="s">
        <v>7</v>
      </c>
      <c r="F5" s="4" t="s">
        <v>43</v>
      </c>
      <c r="G5" s="4" t="s">
        <v>44</v>
      </c>
      <c r="H5" s="6">
        <v>14.5</v>
      </c>
      <c r="I5" s="3" t="s">
        <v>34</v>
      </c>
      <c r="J5" s="1"/>
      <c r="K5" s="11" t="s">
        <v>113</v>
      </c>
      <c r="L5" s="11" t="s">
        <v>164</v>
      </c>
      <c r="M5" s="11">
        <v>14</v>
      </c>
      <c r="N5" s="11">
        <v>2</v>
      </c>
      <c r="O5" s="11" t="s">
        <v>113</v>
      </c>
      <c r="P5" s="11">
        <v>41</v>
      </c>
      <c r="Q5" s="11" t="s">
        <v>112</v>
      </c>
      <c r="R5" s="11" t="s">
        <v>131</v>
      </c>
      <c r="S5" s="11" t="s">
        <v>131</v>
      </c>
      <c r="T5" s="11" t="s">
        <v>131</v>
      </c>
      <c r="U5" s="11" t="s">
        <v>131</v>
      </c>
      <c r="V5" s="11" t="s">
        <v>131</v>
      </c>
      <c r="W5" s="11" t="s">
        <v>131</v>
      </c>
      <c r="X5" s="11" t="s">
        <v>131</v>
      </c>
      <c r="Y5" s="11" t="s">
        <v>281</v>
      </c>
      <c r="Z5" s="11">
        <v>3</v>
      </c>
      <c r="AA5" s="11">
        <v>4</v>
      </c>
      <c r="AB5" s="11">
        <v>3</v>
      </c>
      <c r="AC5" s="11" t="s">
        <v>131</v>
      </c>
      <c r="AD5" s="11" t="s">
        <v>131</v>
      </c>
      <c r="AE5" s="11" t="s">
        <v>112</v>
      </c>
      <c r="AF5" s="11" t="s">
        <v>112</v>
      </c>
      <c r="AG5" s="11" t="s">
        <v>131</v>
      </c>
      <c r="AH5" s="11" t="s">
        <v>113</v>
      </c>
      <c r="AI5" s="11" t="s">
        <v>112</v>
      </c>
    </row>
    <row r="6" spans="1:35" ht="13.5" customHeight="1" x14ac:dyDescent="0.25">
      <c r="A6" s="4">
        <v>6</v>
      </c>
      <c r="B6" s="4">
        <v>4</v>
      </c>
      <c r="C6" s="2" t="s">
        <v>29</v>
      </c>
      <c r="D6" s="4" t="s">
        <v>47</v>
      </c>
      <c r="E6" s="4" t="s">
        <v>38</v>
      </c>
      <c r="F6" s="1" t="s">
        <v>39</v>
      </c>
      <c r="G6" s="4" t="s">
        <v>48</v>
      </c>
      <c r="H6" s="6">
        <v>5.9</v>
      </c>
      <c r="I6" s="3" t="s">
        <v>34</v>
      </c>
      <c r="J6" s="1"/>
      <c r="K6" s="11" t="s">
        <v>111</v>
      </c>
      <c r="L6" s="11" t="s">
        <v>163</v>
      </c>
      <c r="M6" s="11" t="s">
        <v>349</v>
      </c>
      <c r="N6" s="134" t="s">
        <v>350</v>
      </c>
      <c r="O6" s="11" t="s">
        <v>111</v>
      </c>
      <c r="P6" s="11">
        <v>4</v>
      </c>
      <c r="Q6" s="11" t="s">
        <v>112</v>
      </c>
      <c r="R6" s="11" t="s">
        <v>131</v>
      </c>
      <c r="S6" s="11" t="s">
        <v>111</v>
      </c>
      <c r="T6" s="11" t="s">
        <v>129</v>
      </c>
      <c r="U6" s="65">
        <v>21092.114120151899</v>
      </c>
      <c r="V6" s="65">
        <v>11786.093532493525</v>
      </c>
      <c r="W6" s="11" t="s">
        <v>131</v>
      </c>
      <c r="X6" s="11" t="s">
        <v>112</v>
      </c>
      <c r="Y6" s="11" t="s">
        <v>282</v>
      </c>
      <c r="Z6" s="11">
        <v>2</v>
      </c>
      <c r="AA6" s="11">
        <v>1</v>
      </c>
      <c r="AB6" s="11">
        <v>4</v>
      </c>
      <c r="AC6" s="11" t="s">
        <v>112</v>
      </c>
      <c r="AD6" s="11" t="s">
        <v>131</v>
      </c>
      <c r="AE6" s="11" t="s">
        <v>131</v>
      </c>
      <c r="AF6" s="11" t="s">
        <v>131</v>
      </c>
      <c r="AG6" s="11" t="s">
        <v>131</v>
      </c>
      <c r="AH6" s="11" t="s">
        <v>131</v>
      </c>
      <c r="AI6" s="11" t="s">
        <v>131</v>
      </c>
    </row>
    <row r="7" spans="1:35" ht="13.5" customHeight="1" x14ac:dyDescent="0.25">
      <c r="A7" s="4" t="s">
        <v>92</v>
      </c>
      <c r="B7" s="4" t="s">
        <v>92</v>
      </c>
      <c r="C7" s="4" t="s">
        <v>29</v>
      </c>
      <c r="D7" s="4" t="s">
        <v>96</v>
      </c>
      <c r="E7" s="4" t="s">
        <v>97</v>
      </c>
      <c r="F7" s="4" t="s">
        <v>98</v>
      </c>
      <c r="G7" s="4" t="s">
        <v>99</v>
      </c>
      <c r="H7" s="6">
        <v>5.7</v>
      </c>
      <c r="I7" s="9" t="s">
        <v>34</v>
      </c>
      <c r="J7" s="1"/>
      <c r="K7" s="20" t="s">
        <v>112</v>
      </c>
      <c r="L7" s="20" t="s">
        <v>131</v>
      </c>
      <c r="M7" s="20"/>
      <c r="N7" s="20"/>
      <c r="O7" s="20" t="s">
        <v>113</v>
      </c>
      <c r="P7" s="20">
        <v>40</v>
      </c>
      <c r="Q7" s="20" t="s">
        <v>112</v>
      </c>
      <c r="R7" s="20" t="s">
        <v>131</v>
      </c>
      <c r="S7" s="20" t="s">
        <v>112</v>
      </c>
      <c r="T7" s="20" t="s">
        <v>131</v>
      </c>
      <c r="U7" s="70" t="s">
        <v>92</v>
      </c>
      <c r="V7" s="70" t="s">
        <v>92</v>
      </c>
      <c r="W7" s="20" t="s">
        <v>92</v>
      </c>
      <c r="X7" s="20" t="s">
        <v>92</v>
      </c>
      <c r="Y7" s="20" t="s">
        <v>280</v>
      </c>
      <c r="Z7" s="20">
        <v>1</v>
      </c>
      <c r="AA7" s="20">
        <v>2</v>
      </c>
      <c r="AB7" s="20">
        <v>2</v>
      </c>
      <c r="AC7" s="20" t="s">
        <v>112</v>
      </c>
      <c r="AD7" s="20" t="s">
        <v>131</v>
      </c>
      <c r="AE7" s="20" t="s">
        <v>131</v>
      </c>
      <c r="AF7" s="20" t="s">
        <v>131</v>
      </c>
      <c r="AG7" s="20" t="s">
        <v>131</v>
      </c>
      <c r="AH7" s="20" t="s">
        <v>131</v>
      </c>
      <c r="AI7" s="20" t="s">
        <v>131</v>
      </c>
    </row>
    <row r="8" spans="1:35" ht="13.5" customHeight="1" x14ac:dyDescent="0.25">
      <c r="A8" s="4">
        <v>7</v>
      </c>
      <c r="B8" s="4">
        <v>5</v>
      </c>
      <c r="C8" s="2" t="s">
        <v>29</v>
      </c>
      <c r="D8" s="4" t="s">
        <v>49</v>
      </c>
      <c r="E8" s="4" t="s">
        <v>38</v>
      </c>
      <c r="F8" s="1" t="s">
        <v>39</v>
      </c>
      <c r="G8" s="4" t="s">
        <v>50</v>
      </c>
      <c r="H8" s="6">
        <v>3.7</v>
      </c>
      <c r="I8" s="3" t="s">
        <v>34</v>
      </c>
      <c r="J8" s="1"/>
      <c r="K8" s="11" t="s">
        <v>111</v>
      </c>
      <c r="L8" s="11" t="s">
        <v>163</v>
      </c>
      <c r="M8" s="11">
        <v>19</v>
      </c>
      <c r="N8" s="11">
        <v>3</v>
      </c>
      <c r="O8" s="11" t="s">
        <v>111</v>
      </c>
      <c r="P8" s="11">
        <v>7</v>
      </c>
      <c r="Q8" s="11" t="s">
        <v>112</v>
      </c>
      <c r="R8" s="11" t="s">
        <v>131</v>
      </c>
      <c r="S8" s="11" t="s">
        <v>113</v>
      </c>
      <c r="T8" s="11" t="s">
        <v>129</v>
      </c>
      <c r="U8" s="65">
        <v>52317.338849107</v>
      </c>
      <c r="V8" s="65">
        <v>35357.460441668838</v>
      </c>
      <c r="W8" s="11" t="s">
        <v>131</v>
      </c>
      <c r="X8" s="11" t="s">
        <v>112</v>
      </c>
      <c r="Y8" s="11" t="s">
        <v>282</v>
      </c>
      <c r="Z8" s="11">
        <v>2</v>
      </c>
      <c r="AA8" s="11">
        <v>1</v>
      </c>
      <c r="AB8" s="11">
        <v>4</v>
      </c>
      <c r="AC8" s="11" t="s">
        <v>113</v>
      </c>
      <c r="AD8" s="11" t="s">
        <v>203</v>
      </c>
      <c r="AE8" s="11" t="s">
        <v>131</v>
      </c>
      <c r="AF8" s="11" t="s">
        <v>131</v>
      </c>
      <c r="AG8" s="11" t="s">
        <v>131</v>
      </c>
      <c r="AH8" s="11" t="s">
        <v>131</v>
      </c>
      <c r="AI8" s="11" t="s">
        <v>131</v>
      </c>
    </row>
    <row r="9" spans="1:35" ht="13.5" customHeight="1" x14ac:dyDescent="0.25">
      <c r="A9" s="4" t="s">
        <v>92</v>
      </c>
      <c r="B9" s="4" t="s">
        <v>92</v>
      </c>
      <c r="C9" s="4" t="s">
        <v>30</v>
      </c>
      <c r="D9" s="4" t="s">
        <v>100</v>
      </c>
      <c r="E9" s="4" t="s">
        <v>101</v>
      </c>
      <c r="F9" s="4" t="s">
        <v>94</v>
      </c>
      <c r="G9" s="4" t="s">
        <v>99</v>
      </c>
      <c r="H9" s="6">
        <v>1.5</v>
      </c>
      <c r="I9" s="9" t="s">
        <v>34</v>
      </c>
      <c r="J9" s="5"/>
      <c r="K9" s="20" t="s">
        <v>112</v>
      </c>
      <c r="L9" s="20" t="s">
        <v>131</v>
      </c>
      <c r="M9" s="20"/>
      <c r="N9" s="20"/>
      <c r="O9" s="20" t="s">
        <v>112</v>
      </c>
      <c r="P9" s="20" t="s">
        <v>131</v>
      </c>
      <c r="Q9" s="20" t="s">
        <v>112</v>
      </c>
      <c r="R9" s="20" t="s">
        <v>131</v>
      </c>
      <c r="S9" s="20" t="s">
        <v>131</v>
      </c>
      <c r="T9" s="20" t="s">
        <v>131</v>
      </c>
      <c r="U9" s="70" t="s">
        <v>92</v>
      </c>
      <c r="V9" s="70" t="s">
        <v>92</v>
      </c>
      <c r="W9" s="20" t="s">
        <v>92</v>
      </c>
      <c r="X9" s="20" t="s">
        <v>92</v>
      </c>
      <c r="Y9" s="20" t="s">
        <v>279</v>
      </c>
      <c r="Z9" s="20">
        <v>4</v>
      </c>
      <c r="AA9" s="20">
        <v>3</v>
      </c>
      <c r="AB9" s="20">
        <v>5</v>
      </c>
      <c r="AC9" s="20" t="s">
        <v>131</v>
      </c>
      <c r="AD9" s="20" t="s">
        <v>131</v>
      </c>
      <c r="AE9" s="20" t="s">
        <v>112</v>
      </c>
      <c r="AF9" s="20" t="s">
        <v>112</v>
      </c>
      <c r="AG9" s="20" t="s">
        <v>131</v>
      </c>
      <c r="AH9" s="20" t="s">
        <v>113</v>
      </c>
      <c r="AI9" s="20" t="s">
        <v>112</v>
      </c>
    </row>
    <row r="10" spans="1:35" ht="13.5" customHeight="1" x14ac:dyDescent="0.25">
      <c r="A10" s="4" t="s">
        <v>92</v>
      </c>
      <c r="B10" s="4" t="s">
        <v>92</v>
      </c>
      <c r="C10" s="4" t="s">
        <v>30</v>
      </c>
      <c r="D10" s="4" t="s">
        <v>102</v>
      </c>
      <c r="E10" s="4" t="s">
        <v>93</v>
      </c>
      <c r="F10" s="4" t="s">
        <v>94</v>
      </c>
      <c r="G10" s="4" t="s">
        <v>103</v>
      </c>
      <c r="H10" s="6">
        <v>1.1000000000000001</v>
      </c>
      <c r="I10" s="9" t="s">
        <v>34</v>
      </c>
      <c r="J10" s="5"/>
      <c r="K10" s="20" t="s">
        <v>112</v>
      </c>
      <c r="L10" s="20" t="s">
        <v>131</v>
      </c>
      <c r="M10" s="20"/>
      <c r="N10" s="20"/>
      <c r="O10" s="20" t="s">
        <v>112</v>
      </c>
      <c r="P10" s="20" t="s">
        <v>131</v>
      </c>
      <c r="Q10" s="20" t="s">
        <v>112</v>
      </c>
      <c r="R10" s="20" t="s">
        <v>131</v>
      </c>
      <c r="S10" s="20" t="s">
        <v>131</v>
      </c>
      <c r="T10" s="20" t="s">
        <v>131</v>
      </c>
      <c r="U10" s="70" t="s">
        <v>92</v>
      </c>
      <c r="V10" s="70" t="s">
        <v>92</v>
      </c>
      <c r="W10" s="20" t="s">
        <v>92</v>
      </c>
      <c r="X10" s="20" t="s">
        <v>92</v>
      </c>
      <c r="Y10" s="20" t="s">
        <v>279</v>
      </c>
      <c r="Z10" s="20">
        <v>4</v>
      </c>
      <c r="AA10" s="20">
        <v>3</v>
      </c>
      <c r="AB10" s="20">
        <v>5</v>
      </c>
      <c r="AC10" s="20" t="s">
        <v>131</v>
      </c>
      <c r="AD10" s="20" t="s">
        <v>131</v>
      </c>
      <c r="AE10" s="20" t="s">
        <v>112</v>
      </c>
      <c r="AF10" s="20" t="s">
        <v>112</v>
      </c>
      <c r="AG10" s="20" t="s">
        <v>131</v>
      </c>
      <c r="AH10" s="20" t="s">
        <v>113</v>
      </c>
      <c r="AI10" s="20" t="s">
        <v>112</v>
      </c>
    </row>
    <row r="11" spans="1:35" ht="13.5" customHeight="1" x14ac:dyDescent="0.25">
      <c r="A11" s="4">
        <v>9</v>
      </c>
      <c r="B11" s="4">
        <v>6</v>
      </c>
      <c r="C11" s="4" t="s">
        <v>30</v>
      </c>
      <c r="D11" s="4" t="s">
        <v>6</v>
      </c>
      <c r="E11" s="4" t="s">
        <v>7</v>
      </c>
      <c r="F11" s="4" t="s">
        <v>43</v>
      </c>
      <c r="G11" s="4" t="s">
        <v>53</v>
      </c>
      <c r="H11" s="6">
        <v>0.5</v>
      </c>
      <c r="I11" s="9" t="s">
        <v>34</v>
      </c>
      <c r="J11" s="5"/>
      <c r="K11" s="20" t="s">
        <v>112</v>
      </c>
      <c r="L11" s="20" t="s">
        <v>131</v>
      </c>
      <c r="M11" s="20"/>
      <c r="N11" s="20"/>
      <c r="O11" s="20" t="s">
        <v>112</v>
      </c>
      <c r="P11" s="20" t="s">
        <v>131</v>
      </c>
      <c r="Q11" s="20" t="s">
        <v>112</v>
      </c>
      <c r="R11" s="20" t="s">
        <v>131</v>
      </c>
      <c r="S11" s="20" t="s">
        <v>131</v>
      </c>
      <c r="T11" s="20" t="s">
        <v>131</v>
      </c>
      <c r="U11" s="66">
        <v>1179.37295441474</v>
      </c>
      <c r="V11" s="66">
        <v>713.65860713832092</v>
      </c>
      <c r="W11" s="20" t="s">
        <v>131</v>
      </c>
      <c r="X11" s="20" t="s">
        <v>112</v>
      </c>
      <c r="Y11" s="20" t="s">
        <v>281</v>
      </c>
      <c r="Z11" s="20">
        <v>3</v>
      </c>
      <c r="AA11" s="20">
        <v>4</v>
      </c>
      <c r="AB11" s="20">
        <v>3</v>
      </c>
      <c r="AC11" s="20" t="s">
        <v>131</v>
      </c>
      <c r="AD11" s="20" t="s">
        <v>131</v>
      </c>
      <c r="AE11" s="20" t="s">
        <v>112</v>
      </c>
      <c r="AF11" s="20" t="s">
        <v>112</v>
      </c>
      <c r="AG11" s="20" t="s">
        <v>131</v>
      </c>
      <c r="AH11" s="20" t="s">
        <v>113</v>
      </c>
      <c r="AI11" s="20" t="s">
        <v>112</v>
      </c>
    </row>
    <row r="12" spans="1:35" ht="13.5" customHeight="1" x14ac:dyDescent="0.25">
      <c r="A12" s="4">
        <v>3</v>
      </c>
      <c r="B12" s="4">
        <v>7</v>
      </c>
      <c r="C12" s="2" t="s">
        <v>29</v>
      </c>
      <c r="D12" s="5" t="s">
        <v>24</v>
      </c>
      <c r="E12" s="4" t="s">
        <v>38</v>
      </c>
      <c r="F12" s="1" t="s">
        <v>39</v>
      </c>
      <c r="G12" s="4" t="s">
        <v>40</v>
      </c>
      <c r="H12" s="6">
        <f>22.5+116.2</f>
        <v>138.69999999999999</v>
      </c>
      <c r="I12" s="3" t="s">
        <v>41</v>
      </c>
      <c r="J12" s="1" t="s">
        <v>42</v>
      </c>
      <c r="K12" s="11" t="s">
        <v>111</v>
      </c>
      <c r="L12" s="11" t="s">
        <v>163</v>
      </c>
      <c r="M12" s="11">
        <v>17</v>
      </c>
      <c r="N12" s="11">
        <v>4</v>
      </c>
      <c r="O12" s="11" t="s">
        <v>113</v>
      </c>
      <c r="P12" s="11">
        <v>5</v>
      </c>
      <c r="Q12" s="11" t="s">
        <v>112</v>
      </c>
      <c r="R12" s="11" t="s">
        <v>131</v>
      </c>
      <c r="S12" s="11" t="s">
        <v>113</v>
      </c>
      <c r="T12" s="11" t="s">
        <v>129</v>
      </c>
      <c r="U12" s="65">
        <v>94558.355622085597</v>
      </c>
      <c r="V12" s="65">
        <v>84024.517176229172</v>
      </c>
      <c r="W12" s="11" t="s">
        <v>131</v>
      </c>
      <c r="X12" s="11" t="s">
        <v>112</v>
      </c>
      <c r="Y12" s="11" t="s">
        <v>282</v>
      </c>
      <c r="Z12" s="11">
        <v>2</v>
      </c>
      <c r="AA12" s="11">
        <v>1</v>
      </c>
      <c r="AB12" s="11">
        <v>4</v>
      </c>
      <c r="AC12" s="11" t="s">
        <v>113</v>
      </c>
      <c r="AD12" s="11" t="s">
        <v>240</v>
      </c>
      <c r="AE12" s="11" t="s">
        <v>131</v>
      </c>
      <c r="AF12" s="11" t="s">
        <v>131</v>
      </c>
      <c r="AG12" s="11" t="s">
        <v>131</v>
      </c>
      <c r="AH12" s="11" t="s">
        <v>131</v>
      </c>
      <c r="AI12" s="11" t="s">
        <v>131</v>
      </c>
    </row>
    <row r="13" spans="1:35" s="1" customFormat="1" ht="13.5" customHeight="1" x14ac:dyDescent="0.25">
      <c r="A13" s="4">
        <v>5</v>
      </c>
      <c r="B13" s="4">
        <v>8</v>
      </c>
      <c r="C13" s="2" t="s">
        <v>29</v>
      </c>
      <c r="D13" s="5" t="s">
        <v>25</v>
      </c>
      <c r="E13" s="4" t="s">
        <v>38</v>
      </c>
      <c r="F13" s="1" t="s">
        <v>39</v>
      </c>
      <c r="G13" s="4" t="s">
        <v>45</v>
      </c>
      <c r="H13" s="6">
        <f>13.8+71.5</f>
        <v>85.3</v>
      </c>
      <c r="I13" s="3" t="s">
        <v>41</v>
      </c>
      <c r="J13" s="1" t="s">
        <v>46</v>
      </c>
      <c r="K13" s="11" t="s">
        <v>111</v>
      </c>
      <c r="L13" s="11" t="s">
        <v>163</v>
      </c>
      <c r="M13" s="11">
        <v>14</v>
      </c>
      <c r="N13" s="11">
        <v>6</v>
      </c>
      <c r="O13" s="11" t="s">
        <v>111</v>
      </c>
      <c r="P13" s="11">
        <v>8</v>
      </c>
      <c r="Q13" s="11" t="s">
        <v>112</v>
      </c>
      <c r="R13" s="11" t="s">
        <v>131</v>
      </c>
      <c r="S13" s="11" t="s">
        <v>113</v>
      </c>
      <c r="T13" s="11" t="s">
        <v>129</v>
      </c>
      <c r="U13" s="65">
        <v>99872.061928262599</v>
      </c>
      <c r="V13" s="65">
        <v>86757.946122702589</v>
      </c>
      <c r="W13" s="11" t="s">
        <v>131</v>
      </c>
      <c r="X13" s="11" t="s">
        <v>112</v>
      </c>
      <c r="Y13" s="11" t="s">
        <v>282</v>
      </c>
      <c r="Z13" s="11">
        <v>2</v>
      </c>
      <c r="AA13" s="11">
        <v>1</v>
      </c>
      <c r="AB13" s="11">
        <v>4</v>
      </c>
      <c r="AC13" s="11" t="s">
        <v>113</v>
      </c>
      <c r="AD13" s="11" t="s">
        <v>240</v>
      </c>
      <c r="AE13" s="11" t="s">
        <v>131</v>
      </c>
      <c r="AF13" s="11" t="s">
        <v>131</v>
      </c>
      <c r="AG13" s="11" t="s">
        <v>131</v>
      </c>
      <c r="AH13" s="11" t="s">
        <v>131</v>
      </c>
      <c r="AI13" s="11" t="s">
        <v>131</v>
      </c>
    </row>
    <row r="14" spans="1:35" ht="13.5" customHeight="1" x14ac:dyDescent="0.25">
      <c r="A14" s="14" t="s">
        <v>92</v>
      </c>
      <c r="B14" s="4" t="s">
        <v>92</v>
      </c>
      <c r="C14" s="2" t="s">
        <v>30</v>
      </c>
      <c r="D14" s="7" t="s">
        <v>114</v>
      </c>
      <c r="E14" s="7" t="s">
        <v>115</v>
      </c>
      <c r="F14" s="4" t="s">
        <v>94</v>
      </c>
      <c r="G14" s="7" t="s">
        <v>104</v>
      </c>
      <c r="H14" s="12">
        <f>2.9+3.1</f>
        <v>6</v>
      </c>
      <c r="I14" s="10" t="s">
        <v>41</v>
      </c>
      <c r="K14" s="11" t="s">
        <v>113</v>
      </c>
      <c r="L14" s="11" t="s">
        <v>165</v>
      </c>
      <c r="M14" s="11" t="e">
        <f>NA()</f>
        <v>#N/A</v>
      </c>
      <c r="N14" s="11" t="e">
        <f>NA()</f>
        <v>#N/A</v>
      </c>
      <c r="O14" s="11" t="s">
        <v>113</v>
      </c>
      <c r="P14" s="11" t="s">
        <v>131</v>
      </c>
      <c r="Q14" s="11" t="s">
        <v>113</v>
      </c>
      <c r="R14" s="11">
        <v>2010</v>
      </c>
      <c r="S14" s="11" t="s">
        <v>131</v>
      </c>
      <c r="T14" s="11" t="s">
        <v>131</v>
      </c>
      <c r="U14" s="13" t="s">
        <v>92</v>
      </c>
      <c r="V14" s="13" t="s">
        <v>92</v>
      </c>
      <c r="W14" s="11" t="s">
        <v>92</v>
      </c>
      <c r="X14" s="11" t="s">
        <v>92</v>
      </c>
      <c r="Y14" s="11" t="s">
        <v>279</v>
      </c>
      <c r="Z14" s="11">
        <v>4</v>
      </c>
      <c r="AA14" s="11">
        <v>3</v>
      </c>
      <c r="AB14" s="11">
        <v>5</v>
      </c>
      <c r="AC14" s="11" t="s">
        <v>131</v>
      </c>
      <c r="AD14" s="11" t="s">
        <v>131</v>
      </c>
      <c r="AE14" s="11" t="s">
        <v>112</v>
      </c>
      <c r="AF14" s="11" t="s">
        <v>112</v>
      </c>
      <c r="AG14" s="11" t="s">
        <v>131</v>
      </c>
      <c r="AH14" s="11" t="s">
        <v>113</v>
      </c>
      <c r="AI14" s="11" t="s">
        <v>112</v>
      </c>
    </row>
    <row r="15" spans="1:35" s="1" customFormat="1" ht="13.5" customHeight="1" x14ac:dyDescent="0.25">
      <c r="A15" s="14" t="s">
        <v>92</v>
      </c>
      <c r="B15" s="4" t="s">
        <v>92</v>
      </c>
      <c r="C15" s="2" t="s">
        <v>30</v>
      </c>
      <c r="D15" s="7" t="s">
        <v>114</v>
      </c>
      <c r="E15" s="7" t="s">
        <v>115</v>
      </c>
      <c r="F15" s="4" t="s">
        <v>94</v>
      </c>
      <c r="G15" s="7" t="s">
        <v>106</v>
      </c>
      <c r="H15" s="12">
        <f>2.9+3.1</f>
        <v>6</v>
      </c>
      <c r="I15" s="10" t="s">
        <v>41</v>
      </c>
      <c r="J15" s="14"/>
      <c r="K15" s="11" t="s">
        <v>113</v>
      </c>
      <c r="L15" s="11" t="s">
        <v>165</v>
      </c>
      <c r="M15" s="11" t="e">
        <f>NA()</f>
        <v>#N/A</v>
      </c>
      <c r="N15" s="11" t="e">
        <f>NA()</f>
        <v>#N/A</v>
      </c>
      <c r="O15" s="11" t="s">
        <v>113</v>
      </c>
      <c r="P15" s="11" t="s">
        <v>131</v>
      </c>
      <c r="Q15" s="11" t="s">
        <v>113</v>
      </c>
      <c r="R15" s="11">
        <v>2010</v>
      </c>
      <c r="S15" s="11" t="s">
        <v>131</v>
      </c>
      <c r="T15" s="11" t="s">
        <v>131</v>
      </c>
      <c r="U15" s="13" t="s">
        <v>92</v>
      </c>
      <c r="V15" s="13" t="s">
        <v>92</v>
      </c>
      <c r="W15" s="11" t="s">
        <v>92</v>
      </c>
      <c r="X15" s="11" t="s">
        <v>92</v>
      </c>
      <c r="Y15" s="11" t="s">
        <v>279</v>
      </c>
      <c r="Z15" s="11">
        <v>4</v>
      </c>
      <c r="AA15" s="11">
        <v>3</v>
      </c>
      <c r="AB15" s="11">
        <v>5</v>
      </c>
      <c r="AC15" s="11" t="s">
        <v>131</v>
      </c>
      <c r="AD15" s="11" t="s">
        <v>131</v>
      </c>
      <c r="AE15" s="11" t="s">
        <v>112</v>
      </c>
      <c r="AF15" s="11" t="s">
        <v>112</v>
      </c>
      <c r="AG15" s="11" t="s">
        <v>131</v>
      </c>
      <c r="AH15" s="11" t="s">
        <v>113</v>
      </c>
      <c r="AI15" s="11" t="s">
        <v>112</v>
      </c>
    </row>
    <row r="16" spans="1:35" s="1" customFormat="1" ht="13.5" customHeight="1" x14ac:dyDescent="0.25">
      <c r="A16" s="14" t="s">
        <v>92</v>
      </c>
      <c r="B16" s="4" t="s">
        <v>92</v>
      </c>
      <c r="C16" s="2" t="s">
        <v>30</v>
      </c>
      <c r="D16" s="7" t="s">
        <v>114</v>
      </c>
      <c r="E16" s="7" t="s">
        <v>115</v>
      </c>
      <c r="F16" s="4" t="s">
        <v>94</v>
      </c>
      <c r="G16" s="7" t="s">
        <v>105</v>
      </c>
      <c r="H16" s="12">
        <f>2.9+3.1</f>
        <v>6</v>
      </c>
      <c r="I16" s="10" t="s">
        <v>41</v>
      </c>
      <c r="J16" s="14"/>
      <c r="K16" s="11" t="s">
        <v>113</v>
      </c>
      <c r="L16" s="11" t="s">
        <v>165</v>
      </c>
      <c r="M16" s="11" t="e">
        <f>NA()</f>
        <v>#N/A</v>
      </c>
      <c r="N16" s="11" t="e">
        <f>NA()</f>
        <v>#N/A</v>
      </c>
      <c r="O16" s="11" t="s">
        <v>113</v>
      </c>
      <c r="P16" s="11" t="s">
        <v>131</v>
      </c>
      <c r="Q16" s="11" t="s">
        <v>113</v>
      </c>
      <c r="R16" s="11">
        <v>2010</v>
      </c>
      <c r="S16" s="11" t="s">
        <v>131</v>
      </c>
      <c r="T16" s="11" t="s">
        <v>131</v>
      </c>
      <c r="U16" s="13" t="s">
        <v>92</v>
      </c>
      <c r="V16" s="13" t="s">
        <v>92</v>
      </c>
      <c r="W16" s="11" t="s">
        <v>92</v>
      </c>
      <c r="X16" s="11" t="s">
        <v>92</v>
      </c>
      <c r="Y16" s="11" t="s">
        <v>279</v>
      </c>
      <c r="Z16" s="11">
        <v>4</v>
      </c>
      <c r="AA16" s="11">
        <v>3</v>
      </c>
      <c r="AB16" s="11">
        <v>5</v>
      </c>
      <c r="AC16" s="11" t="s">
        <v>131</v>
      </c>
      <c r="AD16" s="11" t="s">
        <v>131</v>
      </c>
      <c r="AE16" s="11" t="s">
        <v>112</v>
      </c>
      <c r="AF16" s="11" t="s">
        <v>112</v>
      </c>
      <c r="AG16" s="11" t="s">
        <v>131</v>
      </c>
      <c r="AH16" s="11" t="s">
        <v>113</v>
      </c>
      <c r="AI16" s="11" t="s">
        <v>112</v>
      </c>
    </row>
    <row r="17" spans="1:35" ht="13.5" customHeight="1" x14ac:dyDescent="0.25">
      <c r="A17" s="14" t="s">
        <v>92</v>
      </c>
      <c r="B17" s="4" t="s">
        <v>92</v>
      </c>
      <c r="C17" s="2" t="s">
        <v>30</v>
      </c>
      <c r="D17" s="7" t="s">
        <v>114</v>
      </c>
      <c r="E17" s="7" t="s">
        <v>115</v>
      </c>
      <c r="F17" s="4" t="s">
        <v>94</v>
      </c>
      <c r="G17" s="7" t="s">
        <v>95</v>
      </c>
      <c r="H17" s="12">
        <f>2.9+3.1</f>
        <v>6</v>
      </c>
      <c r="I17" s="10" t="s">
        <v>41</v>
      </c>
      <c r="K17" s="11" t="s">
        <v>113</v>
      </c>
      <c r="L17" s="11" t="s">
        <v>165</v>
      </c>
      <c r="M17" s="11" t="e">
        <f>NA()</f>
        <v>#N/A</v>
      </c>
      <c r="N17" s="11" t="e">
        <f>NA()</f>
        <v>#N/A</v>
      </c>
      <c r="O17" s="11" t="s">
        <v>113</v>
      </c>
      <c r="P17" s="11" t="s">
        <v>131</v>
      </c>
      <c r="Q17" s="11" t="s">
        <v>113</v>
      </c>
      <c r="R17" s="11">
        <v>2010</v>
      </c>
      <c r="S17" s="11" t="s">
        <v>131</v>
      </c>
      <c r="T17" s="11" t="s">
        <v>131</v>
      </c>
      <c r="U17" s="13" t="s">
        <v>92</v>
      </c>
      <c r="V17" s="13" t="s">
        <v>92</v>
      </c>
      <c r="W17" s="11" t="s">
        <v>92</v>
      </c>
      <c r="X17" s="11" t="s">
        <v>92</v>
      </c>
      <c r="Y17" s="11" t="s">
        <v>279</v>
      </c>
      <c r="Z17" s="11">
        <v>4</v>
      </c>
      <c r="AA17" s="11">
        <v>3</v>
      </c>
      <c r="AB17" s="11">
        <v>5</v>
      </c>
      <c r="AC17" s="11" t="s">
        <v>131</v>
      </c>
      <c r="AD17" s="11" t="s">
        <v>131</v>
      </c>
      <c r="AE17" s="11" t="s">
        <v>112</v>
      </c>
      <c r="AF17" s="11" t="s">
        <v>112</v>
      </c>
      <c r="AG17" s="11" t="s">
        <v>131</v>
      </c>
      <c r="AH17" s="11" t="s">
        <v>113</v>
      </c>
      <c r="AI17" s="11" t="s">
        <v>112</v>
      </c>
    </row>
    <row r="18" spans="1:35" ht="13.5" customHeight="1" x14ac:dyDescent="0.25">
      <c r="A18" s="7">
        <v>8</v>
      </c>
      <c r="B18" s="7">
        <v>9</v>
      </c>
      <c r="C18" s="4" t="s">
        <v>29</v>
      </c>
      <c r="D18" s="7" t="s">
        <v>51</v>
      </c>
      <c r="E18" s="4" t="s">
        <v>38</v>
      </c>
      <c r="F18" s="5" t="s">
        <v>39</v>
      </c>
      <c r="G18" s="7" t="s">
        <v>52</v>
      </c>
      <c r="H18" s="8">
        <f>0.9+4.9</f>
        <v>5.8000000000000007</v>
      </c>
      <c r="I18" s="19" t="s">
        <v>41</v>
      </c>
      <c r="J18" s="1"/>
      <c r="K18" s="20" t="s">
        <v>111</v>
      </c>
      <c r="L18" s="20" t="s">
        <v>166</v>
      </c>
      <c r="M18" s="20">
        <v>9</v>
      </c>
      <c r="N18" s="20">
        <v>10</v>
      </c>
      <c r="O18" s="20" t="s">
        <v>111</v>
      </c>
      <c r="P18" s="20">
        <v>15</v>
      </c>
      <c r="Q18" s="20" t="s">
        <v>112</v>
      </c>
      <c r="R18" s="20" t="s">
        <v>131</v>
      </c>
      <c r="S18" s="20" t="s">
        <v>113</v>
      </c>
      <c r="T18" s="20" t="s">
        <v>129</v>
      </c>
      <c r="U18" s="66">
        <v>65604.148601646797</v>
      </c>
      <c r="V18" s="66">
        <v>55002.834621808041</v>
      </c>
      <c r="W18" s="20" t="s">
        <v>131</v>
      </c>
      <c r="X18" s="20" t="s">
        <v>112</v>
      </c>
      <c r="Y18" s="20" t="s">
        <v>282</v>
      </c>
      <c r="Z18" s="20">
        <v>2</v>
      </c>
      <c r="AA18" s="20">
        <v>1</v>
      </c>
      <c r="AB18" s="20">
        <v>4</v>
      </c>
      <c r="AC18" s="20" t="s">
        <v>112</v>
      </c>
      <c r="AD18" s="20" t="s">
        <v>131</v>
      </c>
      <c r="AE18" s="20" t="s">
        <v>131</v>
      </c>
      <c r="AF18" s="20" t="s">
        <v>131</v>
      </c>
      <c r="AG18" s="20" t="s">
        <v>131</v>
      </c>
      <c r="AH18" s="20" t="s">
        <v>131</v>
      </c>
      <c r="AI18" s="20" t="s">
        <v>131</v>
      </c>
    </row>
    <row r="19" spans="1:35" ht="13.5" customHeight="1" x14ac:dyDescent="0.25">
      <c r="A19" s="14" t="s">
        <v>92</v>
      </c>
      <c r="B19" s="4" t="s">
        <v>92</v>
      </c>
      <c r="C19" s="14" t="s">
        <v>131</v>
      </c>
      <c r="D19" s="14" t="s">
        <v>269</v>
      </c>
      <c r="E19" s="14" t="s">
        <v>270</v>
      </c>
      <c r="F19" s="14" t="s">
        <v>273</v>
      </c>
      <c r="G19" s="14" t="s">
        <v>268</v>
      </c>
      <c r="H19" s="6">
        <v>190.6</v>
      </c>
      <c r="I19" s="14" t="s">
        <v>118</v>
      </c>
      <c r="J19" s="1"/>
      <c r="K19" s="64" t="s">
        <v>131</v>
      </c>
      <c r="L19" s="64" t="s">
        <v>131</v>
      </c>
      <c r="M19" s="64"/>
      <c r="N19" s="64"/>
      <c r="O19" s="64" t="s">
        <v>131</v>
      </c>
      <c r="P19" s="64" t="s">
        <v>131</v>
      </c>
      <c r="Q19" s="11" t="s">
        <v>131</v>
      </c>
      <c r="R19" s="11" t="s">
        <v>131</v>
      </c>
      <c r="S19" s="64" t="s">
        <v>131</v>
      </c>
      <c r="T19" s="64" t="s">
        <v>131</v>
      </c>
      <c r="U19" s="67" t="s">
        <v>92</v>
      </c>
      <c r="V19" s="67" t="s">
        <v>92</v>
      </c>
      <c r="W19" s="64" t="s">
        <v>92</v>
      </c>
      <c r="X19" s="11" t="s">
        <v>92</v>
      </c>
      <c r="Y19" s="11" t="s">
        <v>278</v>
      </c>
      <c r="Z19" s="11">
        <v>5</v>
      </c>
      <c r="AA19" s="11">
        <v>5</v>
      </c>
      <c r="AB19" s="11">
        <v>1</v>
      </c>
      <c r="AC19" s="11" t="s">
        <v>131</v>
      </c>
      <c r="AD19" s="11" t="s">
        <v>131</v>
      </c>
      <c r="AE19" s="11" t="s">
        <v>131</v>
      </c>
      <c r="AF19" s="11" t="s">
        <v>131</v>
      </c>
      <c r="AG19" s="11" t="s">
        <v>131</v>
      </c>
      <c r="AH19" s="11" t="s">
        <v>131</v>
      </c>
      <c r="AI19" s="11" t="s">
        <v>131</v>
      </c>
    </row>
    <row r="20" spans="1:35" ht="13.5" customHeight="1" x14ac:dyDescent="0.25">
      <c r="A20" s="14" t="s">
        <v>92</v>
      </c>
      <c r="B20" s="4" t="s">
        <v>92</v>
      </c>
      <c r="C20" s="14" t="s">
        <v>131</v>
      </c>
      <c r="D20" s="14" t="s">
        <v>269</v>
      </c>
      <c r="E20" s="14" t="s">
        <v>271</v>
      </c>
      <c r="F20" s="14" t="s">
        <v>273</v>
      </c>
      <c r="G20" s="14" t="s">
        <v>268</v>
      </c>
      <c r="H20" s="6">
        <v>190.5</v>
      </c>
      <c r="I20" s="14" t="s">
        <v>118</v>
      </c>
      <c r="J20" s="1"/>
      <c r="K20" s="64" t="s">
        <v>131</v>
      </c>
      <c r="L20" s="64" t="s">
        <v>131</v>
      </c>
      <c r="M20" s="64"/>
      <c r="N20" s="64"/>
      <c r="O20" s="64" t="s">
        <v>131</v>
      </c>
      <c r="P20" s="64" t="s">
        <v>131</v>
      </c>
      <c r="Q20" s="11" t="s">
        <v>131</v>
      </c>
      <c r="R20" s="11" t="s">
        <v>131</v>
      </c>
      <c r="S20" s="64" t="s">
        <v>131</v>
      </c>
      <c r="T20" s="64" t="s">
        <v>131</v>
      </c>
      <c r="U20" s="67" t="s">
        <v>92</v>
      </c>
      <c r="V20" s="67" t="s">
        <v>92</v>
      </c>
      <c r="W20" s="64" t="s">
        <v>92</v>
      </c>
      <c r="X20" s="11" t="s">
        <v>92</v>
      </c>
      <c r="Y20" s="11" t="s">
        <v>280</v>
      </c>
      <c r="Z20" s="11">
        <v>1</v>
      </c>
      <c r="AA20" s="11">
        <v>2</v>
      </c>
      <c r="AB20" s="11">
        <v>2</v>
      </c>
      <c r="AC20" s="11" t="s">
        <v>131</v>
      </c>
      <c r="AD20" s="11" t="s">
        <v>131</v>
      </c>
      <c r="AE20" s="11" t="s">
        <v>131</v>
      </c>
      <c r="AF20" s="11" t="s">
        <v>131</v>
      </c>
      <c r="AG20" s="11" t="s">
        <v>131</v>
      </c>
      <c r="AH20" s="11" t="s">
        <v>131</v>
      </c>
      <c r="AI20" s="11" t="s">
        <v>131</v>
      </c>
    </row>
    <row r="21" spans="1:35" ht="13.5" customHeight="1" x14ac:dyDescent="0.25">
      <c r="A21" s="14" t="s">
        <v>92</v>
      </c>
      <c r="B21" s="4" t="s">
        <v>92</v>
      </c>
      <c r="C21" s="14" t="s">
        <v>131</v>
      </c>
      <c r="D21" s="14" t="s">
        <v>269</v>
      </c>
      <c r="E21" s="14" t="s">
        <v>272</v>
      </c>
      <c r="F21" s="14" t="s">
        <v>273</v>
      </c>
      <c r="G21" s="14" t="s">
        <v>268</v>
      </c>
      <c r="H21" s="6">
        <v>190.5</v>
      </c>
      <c r="I21" s="14" t="s">
        <v>118</v>
      </c>
      <c r="J21" s="1"/>
      <c r="K21" s="64" t="s">
        <v>131</v>
      </c>
      <c r="L21" s="64" t="s">
        <v>131</v>
      </c>
      <c r="M21" s="64"/>
      <c r="N21" s="64"/>
      <c r="O21" s="64" t="s">
        <v>131</v>
      </c>
      <c r="P21" s="64" t="s">
        <v>131</v>
      </c>
      <c r="Q21" s="11" t="s">
        <v>131</v>
      </c>
      <c r="R21" s="11" t="s">
        <v>131</v>
      </c>
      <c r="S21" s="64" t="s">
        <v>131</v>
      </c>
      <c r="T21" s="64" t="s">
        <v>131</v>
      </c>
      <c r="U21" s="67" t="s">
        <v>92</v>
      </c>
      <c r="V21" s="67" t="s">
        <v>92</v>
      </c>
      <c r="W21" s="64" t="s">
        <v>92</v>
      </c>
      <c r="X21" s="11" t="s">
        <v>92</v>
      </c>
      <c r="Y21" s="11" t="s">
        <v>281</v>
      </c>
      <c r="Z21" s="11">
        <v>3</v>
      </c>
      <c r="AA21" s="11">
        <v>4</v>
      </c>
      <c r="AB21" s="11">
        <v>3</v>
      </c>
      <c r="AC21" s="11" t="s">
        <v>131</v>
      </c>
      <c r="AD21" s="11" t="s">
        <v>131</v>
      </c>
      <c r="AE21" s="11" t="s">
        <v>131</v>
      </c>
      <c r="AF21" s="11" t="s">
        <v>131</v>
      </c>
      <c r="AG21" s="11" t="s">
        <v>131</v>
      </c>
      <c r="AH21" s="11" t="s">
        <v>131</v>
      </c>
      <c r="AI21" s="11" t="s">
        <v>131</v>
      </c>
    </row>
    <row r="22" spans="1:35" ht="13.5" customHeight="1" x14ac:dyDescent="0.25">
      <c r="A22" s="14" t="s">
        <v>92</v>
      </c>
      <c r="B22" s="4" t="s">
        <v>92</v>
      </c>
      <c r="C22" s="2" t="s">
        <v>30</v>
      </c>
      <c r="D22" s="7" t="s">
        <v>116</v>
      </c>
      <c r="E22" s="7" t="s">
        <v>117</v>
      </c>
      <c r="F22" s="4" t="s">
        <v>94</v>
      </c>
      <c r="G22" s="7" t="s">
        <v>104</v>
      </c>
      <c r="H22" s="12">
        <f>2.9+3.1+6.7+14.7</f>
        <v>27.4</v>
      </c>
      <c r="I22" s="10" t="s">
        <v>118</v>
      </c>
      <c r="K22" s="11" t="s">
        <v>113</v>
      </c>
      <c r="L22" s="11" t="s">
        <v>165</v>
      </c>
      <c r="M22" s="11" t="e">
        <f>NA()</f>
        <v>#N/A</v>
      </c>
      <c r="N22" s="11" t="e">
        <f>NA()</f>
        <v>#N/A</v>
      </c>
      <c r="O22" s="11" t="s">
        <v>113</v>
      </c>
      <c r="P22" s="11" t="s">
        <v>131</v>
      </c>
      <c r="Q22" s="11" t="s">
        <v>113</v>
      </c>
      <c r="R22" s="11">
        <v>2010</v>
      </c>
      <c r="S22" s="11" t="s">
        <v>131</v>
      </c>
      <c r="T22" s="11" t="s">
        <v>131</v>
      </c>
      <c r="U22" s="13" t="s">
        <v>92</v>
      </c>
      <c r="V22" s="13" t="s">
        <v>92</v>
      </c>
      <c r="W22" s="11" t="s">
        <v>92</v>
      </c>
      <c r="X22" s="11" t="s">
        <v>92</v>
      </c>
      <c r="Y22" s="11" t="s">
        <v>279</v>
      </c>
      <c r="Z22" s="11">
        <v>4</v>
      </c>
      <c r="AA22" s="11">
        <v>3</v>
      </c>
      <c r="AB22" s="11">
        <v>5</v>
      </c>
      <c r="AC22" s="11" t="s">
        <v>131</v>
      </c>
      <c r="AD22" s="11" t="s">
        <v>131</v>
      </c>
      <c r="AE22" s="11" t="s">
        <v>112</v>
      </c>
      <c r="AF22" s="11" t="s">
        <v>112</v>
      </c>
      <c r="AG22" s="11" t="s">
        <v>131</v>
      </c>
      <c r="AH22" s="11" t="s">
        <v>113</v>
      </c>
      <c r="AI22" s="11" t="s">
        <v>112</v>
      </c>
    </row>
    <row r="23" spans="1:35" ht="13.5" customHeight="1" x14ac:dyDescent="0.25">
      <c r="A23" s="14" t="s">
        <v>92</v>
      </c>
      <c r="B23" s="4" t="s">
        <v>92</v>
      </c>
      <c r="C23" s="2" t="s">
        <v>30</v>
      </c>
      <c r="D23" s="7" t="s">
        <v>116</v>
      </c>
      <c r="E23" s="7" t="s">
        <v>117</v>
      </c>
      <c r="F23" s="4" t="s">
        <v>94</v>
      </c>
      <c r="G23" s="7" t="s">
        <v>106</v>
      </c>
      <c r="H23" s="12">
        <f>2.9+3.1+6.7+14.7</f>
        <v>27.4</v>
      </c>
      <c r="I23" s="10" t="s">
        <v>118</v>
      </c>
      <c r="K23" s="11" t="s">
        <v>113</v>
      </c>
      <c r="L23" s="11" t="s">
        <v>165</v>
      </c>
      <c r="M23" s="11" t="e">
        <f>NA()</f>
        <v>#N/A</v>
      </c>
      <c r="N23" s="11" t="e">
        <f>NA()</f>
        <v>#N/A</v>
      </c>
      <c r="O23" s="11" t="s">
        <v>113</v>
      </c>
      <c r="P23" s="11" t="s">
        <v>131</v>
      </c>
      <c r="Q23" s="11" t="s">
        <v>113</v>
      </c>
      <c r="R23" s="11">
        <v>2010</v>
      </c>
      <c r="S23" s="11" t="s">
        <v>131</v>
      </c>
      <c r="T23" s="11" t="s">
        <v>131</v>
      </c>
      <c r="U23" s="13" t="s">
        <v>92</v>
      </c>
      <c r="V23" s="13" t="s">
        <v>92</v>
      </c>
      <c r="W23" s="11" t="s">
        <v>92</v>
      </c>
      <c r="X23" s="11" t="s">
        <v>92</v>
      </c>
      <c r="Y23" s="11" t="s">
        <v>279</v>
      </c>
      <c r="Z23" s="11">
        <v>4</v>
      </c>
      <c r="AA23" s="11">
        <v>3</v>
      </c>
      <c r="AB23" s="11">
        <v>5</v>
      </c>
      <c r="AC23" s="11" t="s">
        <v>131</v>
      </c>
      <c r="AD23" s="11" t="s">
        <v>131</v>
      </c>
      <c r="AE23" s="11" t="s">
        <v>112</v>
      </c>
      <c r="AF23" s="11" t="s">
        <v>112</v>
      </c>
      <c r="AG23" s="11" t="s">
        <v>131</v>
      </c>
      <c r="AH23" s="11" t="s">
        <v>113</v>
      </c>
      <c r="AI23" s="11" t="s">
        <v>112</v>
      </c>
    </row>
    <row r="24" spans="1:35" ht="13.5" customHeight="1" x14ac:dyDescent="0.25">
      <c r="A24" s="14" t="s">
        <v>92</v>
      </c>
      <c r="B24" s="4" t="s">
        <v>92</v>
      </c>
      <c r="C24" s="2" t="s">
        <v>30</v>
      </c>
      <c r="D24" s="7" t="s">
        <v>116</v>
      </c>
      <c r="E24" s="7" t="s">
        <v>117</v>
      </c>
      <c r="F24" s="4" t="s">
        <v>94</v>
      </c>
      <c r="G24" s="7" t="s">
        <v>105</v>
      </c>
      <c r="H24" s="12">
        <f>2.9+3.1+6.7+14.7</f>
        <v>27.4</v>
      </c>
      <c r="I24" s="10" t="s">
        <v>118</v>
      </c>
      <c r="K24" s="11" t="s">
        <v>113</v>
      </c>
      <c r="L24" s="11" t="s">
        <v>165</v>
      </c>
      <c r="M24" s="11" t="e">
        <f>NA()</f>
        <v>#N/A</v>
      </c>
      <c r="N24" s="11" t="e">
        <f>NA()</f>
        <v>#N/A</v>
      </c>
      <c r="O24" s="11" t="s">
        <v>113</v>
      </c>
      <c r="P24" s="11" t="s">
        <v>131</v>
      </c>
      <c r="Q24" s="11" t="s">
        <v>113</v>
      </c>
      <c r="R24" s="11">
        <v>2010</v>
      </c>
      <c r="S24" s="11" t="s">
        <v>131</v>
      </c>
      <c r="T24" s="11" t="s">
        <v>131</v>
      </c>
      <c r="U24" s="13" t="s">
        <v>92</v>
      </c>
      <c r="V24" s="13" t="s">
        <v>92</v>
      </c>
      <c r="W24" s="11" t="s">
        <v>92</v>
      </c>
      <c r="X24" s="11" t="s">
        <v>92</v>
      </c>
      <c r="Y24" s="11" t="s">
        <v>279</v>
      </c>
      <c r="Z24" s="11">
        <v>4</v>
      </c>
      <c r="AA24" s="11">
        <v>3</v>
      </c>
      <c r="AB24" s="11">
        <v>5</v>
      </c>
      <c r="AC24" s="11" t="s">
        <v>131</v>
      </c>
      <c r="AD24" s="11" t="s">
        <v>131</v>
      </c>
      <c r="AE24" s="11" t="s">
        <v>112</v>
      </c>
      <c r="AF24" s="11" t="s">
        <v>112</v>
      </c>
      <c r="AG24" s="11" t="s">
        <v>131</v>
      </c>
      <c r="AH24" s="11" t="s">
        <v>113</v>
      </c>
      <c r="AI24" s="11" t="s">
        <v>112</v>
      </c>
    </row>
    <row r="25" spans="1:35" ht="13.5" customHeight="1" x14ac:dyDescent="0.25">
      <c r="A25" s="14" t="s">
        <v>92</v>
      </c>
      <c r="B25" s="4" t="s">
        <v>92</v>
      </c>
      <c r="C25" s="2" t="s">
        <v>30</v>
      </c>
      <c r="D25" s="7" t="s">
        <v>116</v>
      </c>
      <c r="E25" s="7" t="s">
        <v>117</v>
      </c>
      <c r="F25" s="4" t="s">
        <v>94</v>
      </c>
      <c r="G25" s="7" t="s">
        <v>95</v>
      </c>
      <c r="H25" s="12">
        <f>2.9+3.1+6.7+14.7</f>
        <v>27.4</v>
      </c>
      <c r="I25" s="10" t="s">
        <v>118</v>
      </c>
      <c r="K25" s="11" t="s">
        <v>113</v>
      </c>
      <c r="L25" s="11" t="s">
        <v>165</v>
      </c>
      <c r="M25" s="11" t="e">
        <f>NA()</f>
        <v>#N/A</v>
      </c>
      <c r="N25" s="11" t="e">
        <f>NA()</f>
        <v>#N/A</v>
      </c>
      <c r="O25" s="11" t="s">
        <v>113</v>
      </c>
      <c r="P25" s="11" t="s">
        <v>131</v>
      </c>
      <c r="Q25" s="11" t="s">
        <v>113</v>
      </c>
      <c r="R25" s="11">
        <v>2010</v>
      </c>
      <c r="S25" s="11" t="s">
        <v>131</v>
      </c>
      <c r="T25" s="11" t="s">
        <v>131</v>
      </c>
      <c r="U25" s="13" t="s">
        <v>92</v>
      </c>
      <c r="V25" s="13" t="s">
        <v>92</v>
      </c>
      <c r="W25" s="11" t="s">
        <v>92</v>
      </c>
      <c r="X25" s="11" t="s">
        <v>92</v>
      </c>
      <c r="Y25" s="11" t="s">
        <v>279</v>
      </c>
      <c r="Z25" s="11">
        <v>4</v>
      </c>
      <c r="AA25" s="11">
        <v>3</v>
      </c>
      <c r="AB25" s="11">
        <v>5</v>
      </c>
      <c r="AC25" s="11" t="s">
        <v>131</v>
      </c>
      <c r="AD25" s="11" t="s">
        <v>131</v>
      </c>
      <c r="AE25" s="11" t="s">
        <v>112</v>
      </c>
      <c r="AF25" s="11" t="s">
        <v>112</v>
      </c>
      <c r="AG25" s="11" t="s">
        <v>131</v>
      </c>
      <c r="AH25" s="11" t="s">
        <v>113</v>
      </c>
      <c r="AI25" s="11" t="s">
        <v>112</v>
      </c>
    </row>
    <row r="26" spans="1:35" ht="13.5" customHeight="1" x14ac:dyDescent="0.25">
      <c r="A26" s="71" t="s">
        <v>131</v>
      </c>
      <c r="B26" s="72">
        <v>10</v>
      </c>
      <c r="C26" s="73" t="s">
        <v>30</v>
      </c>
      <c r="D26" s="73" t="s">
        <v>297</v>
      </c>
      <c r="E26" s="73" t="s">
        <v>8</v>
      </c>
      <c r="F26" s="73" t="s">
        <v>37</v>
      </c>
      <c r="G26" s="73" t="s">
        <v>299</v>
      </c>
      <c r="H26" s="8">
        <v>35.700000000000003</v>
      </c>
      <c r="I26" s="9" t="s">
        <v>54</v>
      </c>
      <c r="J26" s="73"/>
      <c r="K26" s="20" t="s">
        <v>113</v>
      </c>
      <c r="L26" s="20" t="s">
        <v>301</v>
      </c>
      <c r="M26" s="20">
        <v>9</v>
      </c>
      <c r="N26" s="20">
        <v>7</v>
      </c>
      <c r="O26" s="20" t="s">
        <v>113</v>
      </c>
      <c r="P26" s="20">
        <v>48</v>
      </c>
      <c r="Q26" s="20" t="s">
        <v>113</v>
      </c>
      <c r="R26" s="20">
        <v>2043</v>
      </c>
      <c r="S26" s="20" t="s">
        <v>131</v>
      </c>
      <c r="T26" s="20" t="s">
        <v>131</v>
      </c>
      <c r="U26" s="74">
        <v>2227</v>
      </c>
      <c r="V26" s="74">
        <v>1291</v>
      </c>
      <c r="W26" s="20" t="s">
        <v>131</v>
      </c>
      <c r="X26" s="20" t="s">
        <v>113</v>
      </c>
      <c r="Y26" s="20" t="s">
        <v>279</v>
      </c>
      <c r="Z26" s="20">
        <v>4</v>
      </c>
      <c r="AA26" s="20">
        <v>3</v>
      </c>
      <c r="AB26" s="20">
        <v>5</v>
      </c>
      <c r="AC26" s="20" t="s">
        <v>131</v>
      </c>
      <c r="AD26" s="20" t="s">
        <v>131</v>
      </c>
      <c r="AE26" s="20" t="s">
        <v>112</v>
      </c>
      <c r="AF26" s="20" t="s">
        <v>113</v>
      </c>
      <c r="AG26" s="20" t="s">
        <v>209</v>
      </c>
      <c r="AH26" s="20" t="s">
        <v>113</v>
      </c>
      <c r="AI26" s="20" t="s">
        <v>113</v>
      </c>
    </row>
    <row r="27" spans="1:35" ht="13.5" customHeight="1" x14ac:dyDescent="0.25">
      <c r="A27" s="71" t="s">
        <v>131</v>
      </c>
      <c r="B27" s="72">
        <v>11</v>
      </c>
      <c r="C27" s="73" t="s">
        <v>30</v>
      </c>
      <c r="D27" s="73" t="s">
        <v>296</v>
      </c>
      <c r="E27" s="4" t="s">
        <v>181</v>
      </c>
      <c r="F27" s="4" t="s">
        <v>64</v>
      </c>
      <c r="G27" s="73" t="s">
        <v>298</v>
      </c>
      <c r="H27" s="8">
        <v>21.2</v>
      </c>
      <c r="I27" s="9" t="s">
        <v>54</v>
      </c>
      <c r="J27" s="73"/>
      <c r="K27" s="20" t="s">
        <v>113</v>
      </c>
      <c r="L27" s="20" t="s">
        <v>300</v>
      </c>
      <c r="M27" s="20">
        <v>6</v>
      </c>
      <c r="N27" s="20">
        <v>10</v>
      </c>
      <c r="O27" s="20" t="s">
        <v>113</v>
      </c>
      <c r="P27" s="20">
        <v>23</v>
      </c>
      <c r="Q27" s="20" t="s">
        <v>112</v>
      </c>
      <c r="R27" s="20" t="s">
        <v>131</v>
      </c>
      <c r="S27" s="20" t="s">
        <v>131</v>
      </c>
      <c r="T27" s="20" t="s">
        <v>131</v>
      </c>
      <c r="U27" s="74">
        <v>4817</v>
      </c>
      <c r="V27" s="74">
        <v>4817</v>
      </c>
      <c r="W27" s="20" t="s">
        <v>131</v>
      </c>
      <c r="X27" s="20" t="s">
        <v>113</v>
      </c>
      <c r="Y27" s="20" t="s">
        <v>281</v>
      </c>
      <c r="Z27" s="20">
        <v>3</v>
      </c>
      <c r="AA27" s="20">
        <v>4</v>
      </c>
      <c r="AB27" s="20">
        <v>3</v>
      </c>
      <c r="AC27" s="20" t="s">
        <v>131</v>
      </c>
      <c r="AD27" s="20" t="s">
        <v>131</v>
      </c>
      <c r="AE27" s="20" t="s">
        <v>112</v>
      </c>
      <c r="AF27" s="20" t="s">
        <v>112</v>
      </c>
      <c r="AG27" s="20" t="s">
        <v>211</v>
      </c>
      <c r="AH27" s="20" t="s">
        <v>112</v>
      </c>
      <c r="AI27" s="20" t="s">
        <v>112</v>
      </c>
    </row>
    <row r="28" spans="1:35" ht="13.5" customHeight="1" x14ac:dyDescent="0.25">
      <c r="A28" s="4">
        <v>11</v>
      </c>
      <c r="B28" s="4">
        <v>12</v>
      </c>
      <c r="C28" s="4" t="s">
        <v>30</v>
      </c>
      <c r="D28" s="4" t="s">
        <v>55</v>
      </c>
      <c r="E28" s="4" t="s">
        <v>9</v>
      </c>
      <c r="F28" s="4" t="s">
        <v>161</v>
      </c>
      <c r="G28" s="4" t="s">
        <v>56</v>
      </c>
      <c r="H28" s="6">
        <v>1.9</v>
      </c>
      <c r="I28" s="9" t="s">
        <v>54</v>
      </c>
      <c r="J28" s="5"/>
      <c r="K28" s="20" t="s">
        <v>112</v>
      </c>
      <c r="L28" s="20" t="s">
        <v>131</v>
      </c>
      <c r="M28" s="20"/>
      <c r="N28" s="20"/>
      <c r="O28" s="20" t="s">
        <v>112</v>
      </c>
      <c r="P28" s="20" t="s">
        <v>131</v>
      </c>
      <c r="Q28" s="20" t="s">
        <v>112</v>
      </c>
      <c r="R28" s="20" t="s">
        <v>131</v>
      </c>
      <c r="S28" s="20" t="s">
        <v>131</v>
      </c>
      <c r="T28" s="20" t="s">
        <v>131</v>
      </c>
      <c r="U28" s="66">
        <v>4900.4682979610297</v>
      </c>
      <c r="V28" s="66">
        <v>3833.8659773734503</v>
      </c>
      <c r="W28" s="20" t="s">
        <v>131</v>
      </c>
      <c r="X28" s="20" t="s">
        <v>113</v>
      </c>
      <c r="Y28" s="20" t="s">
        <v>279</v>
      </c>
      <c r="Z28" s="20">
        <v>4</v>
      </c>
      <c r="AA28" s="20">
        <v>3</v>
      </c>
      <c r="AB28" s="20">
        <v>5</v>
      </c>
      <c r="AC28" s="20" t="s">
        <v>131</v>
      </c>
      <c r="AD28" s="20" t="s">
        <v>131</v>
      </c>
      <c r="AE28" s="20" t="s">
        <v>112</v>
      </c>
      <c r="AF28" s="20" t="s">
        <v>112</v>
      </c>
      <c r="AG28" s="20" t="s">
        <v>210</v>
      </c>
      <c r="AH28" s="20" t="s">
        <v>113</v>
      </c>
      <c r="AI28" s="20" t="s">
        <v>112</v>
      </c>
    </row>
    <row r="29" spans="1:35" ht="13.5" customHeight="1" x14ac:dyDescent="0.25">
      <c r="A29" s="4">
        <v>12</v>
      </c>
      <c r="B29" s="4">
        <v>13</v>
      </c>
      <c r="C29" s="4" t="s">
        <v>30</v>
      </c>
      <c r="D29" s="4" t="s">
        <v>6</v>
      </c>
      <c r="E29" s="4" t="s">
        <v>7</v>
      </c>
      <c r="F29" s="5" t="s">
        <v>43</v>
      </c>
      <c r="G29" s="4" t="s">
        <v>10</v>
      </c>
      <c r="H29" s="6">
        <v>1.8</v>
      </c>
      <c r="I29" s="9" t="s">
        <v>54</v>
      </c>
      <c r="J29" s="5"/>
      <c r="K29" s="20" t="s">
        <v>113</v>
      </c>
      <c r="L29" s="20" t="s">
        <v>167</v>
      </c>
      <c r="M29" s="20">
        <v>12</v>
      </c>
      <c r="N29" s="20">
        <v>4</v>
      </c>
      <c r="O29" s="20" t="s">
        <v>113</v>
      </c>
      <c r="P29" s="20">
        <v>44</v>
      </c>
      <c r="Q29" s="20" t="s">
        <v>113</v>
      </c>
      <c r="R29" s="20">
        <v>2097</v>
      </c>
      <c r="S29" s="20" t="s">
        <v>131</v>
      </c>
      <c r="T29" s="20" t="s">
        <v>131</v>
      </c>
      <c r="U29" s="66">
        <v>1728</v>
      </c>
      <c r="V29" s="66">
        <v>1728</v>
      </c>
      <c r="W29" s="20" t="s">
        <v>131</v>
      </c>
      <c r="X29" s="20" t="s">
        <v>112</v>
      </c>
      <c r="Y29" s="20" t="s">
        <v>281</v>
      </c>
      <c r="Z29" s="20">
        <v>3</v>
      </c>
      <c r="AA29" s="20">
        <v>4</v>
      </c>
      <c r="AB29" s="20">
        <v>3</v>
      </c>
      <c r="AC29" s="20" t="s">
        <v>131</v>
      </c>
      <c r="AD29" s="20" t="s">
        <v>131</v>
      </c>
      <c r="AE29" s="20" t="s">
        <v>112</v>
      </c>
      <c r="AF29" s="20" t="s">
        <v>112</v>
      </c>
      <c r="AG29" s="20" t="s">
        <v>131</v>
      </c>
      <c r="AH29" s="20" t="s">
        <v>113</v>
      </c>
      <c r="AI29" s="20" t="s">
        <v>112</v>
      </c>
    </row>
    <row r="30" spans="1:35" ht="13.5" customHeight="1" x14ac:dyDescent="0.25">
      <c r="A30" s="7">
        <v>13</v>
      </c>
      <c r="B30" s="7">
        <v>14</v>
      </c>
      <c r="C30" s="4" t="s">
        <v>30</v>
      </c>
      <c r="D30" s="7" t="s">
        <v>6</v>
      </c>
      <c r="E30" s="7" t="s">
        <v>7</v>
      </c>
      <c r="F30" s="4" t="s">
        <v>43</v>
      </c>
      <c r="G30" s="7" t="s">
        <v>57</v>
      </c>
      <c r="H30" s="8">
        <v>1.4</v>
      </c>
      <c r="I30" s="9" t="s">
        <v>54</v>
      </c>
      <c r="J30" s="5"/>
      <c r="K30" s="20" t="s">
        <v>113</v>
      </c>
      <c r="L30" s="20" t="s">
        <v>168</v>
      </c>
      <c r="M30" s="20">
        <v>11</v>
      </c>
      <c r="N30" s="20">
        <v>5</v>
      </c>
      <c r="O30" s="20" t="s">
        <v>113</v>
      </c>
      <c r="P30" s="20">
        <v>45</v>
      </c>
      <c r="Q30" s="20" t="s">
        <v>112</v>
      </c>
      <c r="R30" s="20" t="s">
        <v>131</v>
      </c>
      <c r="S30" s="20" t="s">
        <v>131</v>
      </c>
      <c r="T30" s="20" t="s">
        <v>131</v>
      </c>
      <c r="U30" s="66">
        <v>842</v>
      </c>
      <c r="V30" s="66">
        <v>761</v>
      </c>
      <c r="W30" s="20" t="s">
        <v>131</v>
      </c>
      <c r="X30" s="20" t="s">
        <v>112</v>
      </c>
      <c r="Y30" s="20" t="s">
        <v>281</v>
      </c>
      <c r="Z30" s="20">
        <v>3</v>
      </c>
      <c r="AA30" s="20">
        <v>4</v>
      </c>
      <c r="AB30" s="20">
        <v>3</v>
      </c>
      <c r="AC30" s="20" t="s">
        <v>131</v>
      </c>
      <c r="AD30" s="20" t="s">
        <v>131</v>
      </c>
      <c r="AE30" s="20" t="s">
        <v>112</v>
      </c>
      <c r="AF30" s="20" t="s">
        <v>112</v>
      </c>
      <c r="AG30" s="20" t="s">
        <v>131</v>
      </c>
      <c r="AH30" s="20" t="s">
        <v>113</v>
      </c>
      <c r="AI30" s="20" t="s">
        <v>112</v>
      </c>
    </row>
    <row r="31" spans="1:35" ht="13.5" customHeight="1" x14ac:dyDescent="0.25">
      <c r="A31" s="4">
        <v>14</v>
      </c>
      <c r="B31" s="4">
        <v>15</v>
      </c>
      <c r="C31" s="4" t="s">
        <v>30</v>
      </c>
      <c r="D31" s="4" t="s">
        <v>6</v>
      </c>
      <c r="E31" s="4" t="s">
        <v>7</v>
      </c>
      <c r="F31" s="4" t="s">
        <v>43</v>
      </c>
      <c r="G31" s="4" t="s">
        <v>58</v>
      </c>
      <c r="H31" s="6">
        <v>1.4</v>
      </c>
      <c r="I31" s="9" t="s">
        <v>54</v>
      </c>
      <c r="J31" s="5"/>
      <c r="K31" s="20" t="s">
        <v>113</v>
      </c>
      <c r="L31" s="20" t="s">
        <v>169</v>
      </c>
      <c r="M31" s="20">
        <v>10</v>
      </c>
      <c r="N31" s="20">
        <v>6</v>
      </c>
      <c r="O31" s="20" t="s">
        <v>113</v>
      </c>
      <c r="P31" s="20">
        <v>47</v>
      </c>
      <c r="Q31" s="20" t="s">
        <v>113</v>
      </c>
      <c r="R31" s="20">
        <v>2089</v>
      </c>
      <c r="S31" s="20" t="s">
        <v>131</v>
      </c>
      <c r="T31" s="20" t="s">
        <v>131</v>
      </c>
      <c r="U31" s="66">
        <v>669</v>
      </c>
      <c r="V31" s="66">
        <v>630</v>
      </c>
      <c r="W31" s="20" t="s">
        <v>131</v>
      </c>
      <c r="X31" s="20" t="s">
        <v>112</v>
      </c>
      <c r="Y31" s="20" t="s">
        <v>281</v>
      </c>
      <c r="Z31" s="20">
        <v>3</v>
      </c>
      <c r="AA31" s="20">
        <v>4</v>
      </c>
      <c r="AB31" s="20">
        <v>3</v>
      </c>
      <c r="AC31" s="20" t="s">
        <v>131</v>
      </c>
      <c r="AD31" s="20" t="s">
        <v>131</v>
      </c>
      <c r="AE31" s="20" t="s">
        <v>112</v>
      </c>
      <c r="AF31" s="20" t="s">
        <v>112</v>
      </c>
      <c r="AG31" s="20" t="s">
        <v>131</v>
      </c>
      <c r="AH31" s="20" t="s">
        <v>113</v>
      </c>
      <c r="AI31" s="20" t="s">
        <v>112</v>
      </c>
    </row>
    <row r="32" spans="1:35" ht="13.5" customHeight="1" x14ac:dyDescent="0.25">
      <c r="A32" s="4">
        <v>18</v>
      </c>
      <c r="B32" s="4">
        <v>16</v>
      </c>
      <c r="C32" s="4" t="s">
        <v>30</v>
      </c>
      <c r="D32" s="4" t="s">
        <v>6</v>
      </c>
      <c r="E32" s="4" t="s">
        <v>7</v>
      </c>
      <c r="F32" s="4" t="s">
        <v>43</v>
      </c>
      <c r="G32" s="4" t="s">
        <v>59</v>
      </c>
      <c r="H32" s="6">
        <v>0.6</v>
      </c>
      <c r="I32" s="9" t="s">
        <v>54</v>
      </c>
      <c r="J32" s="5"/>
      <c r="K32" s="20" t="s">
        <v>113</v>
      </c>
      <c r="L32" s="20" t="s">
        <v>170</v>
      </c>
      <c r="M32" s="20">
        <v>11</v>
      </c>
      <c r="N32" s="20">
        <v>5</v>
      </c>
      <c r="O32" s="20" t="s">
        <v>112</v>
      </c>
      <c r="P32" s="20" t="s">
        <v>131</v>
      </c>
      <c r="Q32" s="20" t="s">
        <v>111</v>
      </c>
      <c r="R32" s="20">
        <v>2105</v>
      </c>
      <c r="S32" s="20" t="s">
        <v>131</v>
      </c>
      <c r="T32" s="20" t="s">
        <v>131</v>
      </c>
      <c r="U32" s="66">
        <v>561.39676093695505</v>
      </c>
      <c r="V32" s="66">
        <v>502.67861818673293</v>
      </c>
      <c r="W32" s="20" t="s">
        <v>131</v>
      </c>
      <c r="X32" s="20" t="s">
        <v>112</v>
      </c>
      <c r="Y32" s="20" t="s">
        <v>281</v>
      </c>
      <c r="Z32" s="20">
        <v>3</v>
      </c>
      <c r="AA32" s="20">
        <v>4</v>
      </c>
      <c r="AB32" s="20">
        <v>3</v>
      </c>
      <c r="AC32" s="20" t="s">
        <v>131</v>
      </c>
      <c r="AD32" s="20" t="s">
        <v>131</v>
      </c>
      <c r="AE32" s="20" t="s">
        <v>112</v>
      </c>
      <c r="AF32" s="20" t="s">
        <v>112</v>
      </c>
      <c r="AG32" s="20" t="s">
        <v>131</v>
      </c>
      <c r="AH32" s="20" t="s">
        <v>113</v>
      </c>
      <c r="AI32" s="20" t="s">
        <v>112</v>
      </c>
    </row>
    <row r="33" spans="1:35" ht="13.5" customHeight="1" x14ac:dyDescent="0.25">
      <c r="A33" s="4">
        <v>10</v>
      </c>
      <c r="B33" s="4">
        <v>17</v>
      </c>
      <c r="C33" s="2" t="s">
        <v>30</v>
      </c>
      <c r="D33" s="4" t="s">
        <v>27</v>
      </c>
      <c r="E33" s="4" t="s">
        <v>8</v>
      </c>
      <c r="F33" s="4" t="s">
        <v>37</v>
      </c>
      <c r="G33" s="4" t="s">
        <v>306</v>
      </c>
      <c r="H33" s="6">
        <f>5.5+29.5</f>
        <v>35</v>
      </c>
      <c r="I33" s="9" t="s">
        <v>307</v>
      </c>
      <c r="J33" s="1"/>
      <c r="K33" s="11" t="s">
        <v>113</v>
      </c>
      <c r="L33" s="11" t="s">
        <v>308</v>
      </c>
      <c r="M33" s="11">
        <v>10</v>
      </c>
      <c r="N33" s="11">
        <v>6</v>
      </c>
      <c r="O33" s="11" t="s">
        <v>113</v>
      </c>
      <c r="P33" s="11">
        <v>11</v>
      </c>
      <c r="Q33" s="11" t="s">
        <v>112</v>
      </c>
      <c r="R33" s="11" t="s">
        <v>131</v>
      </c>
      <c r="S33" s="11" t="s">
        <v>131</v>
      </c>
      <c r="T33" s="11" t="s">
        <v>131</v>
      </c>
      <c r="U33" s="65">
        <v>8400.7004096038399</v>
      </c>
      <c r="V33" s="65">
        <v>4490.0961893826498</v>
      </c>
      <c r="W33" s="11" t="s">
        <v>131</v>
      </c>
      <c r="X33" s="11" t="s">
        <v>113</v>
      </c>
      <c r="Y33" s="11" t="s">
        <v>279</v>
      </c>
      <c r="Z33" s="11">
        <v>4</v>
      </c>
      <c r="AA33" s="11">
        <v>3</v>
      </c>
      <c r="AB33" s="11">
        <v>5</v>
      </c>
      <c r="AC33" s="11" t="s">
        <v>131</v>
      </c>
      <c r="AD33" s="11" t="s">
        <v>131</v>
      </c>
      <c r="AE33" s="11" t="s">
        <v>112</v>
      </c>
      <c r="AF33" s="11" t="s">
        <v>113</v>
      </c>
      <c r="AG33" s="11" t="s">
        <v>209</v>
      </c>
      <c r="AH33" s="11" t="s">
        <v>113</v>
      </c>
      <c r="AI33" s="11" t="s">
        <v>113</v>
      </c>
    </row>
    <row r="34" spans="1:35" ht="13.5" customHeight="1" x14ac:dyDescent="0.25">
      <c r="A34" s="2">
        <v>20</v>
      </c>
      <c r="B34" s="4">
        <v>18</v>
      </c>
      <c r="C34" s="4" t="s">
        <v>29</v>
      </c>
      <c r="D34" s="5" t="s">
        <v>27</v>
      </c>
      <c r="E34" s="4" t="s">
        <v>60</v>
      </c>
      <c r="F34" s="5" t="s">
        <v>39</v>
      </c>
      <c r="G34" s="4" t="s">
        <v>61</v>
      </c>
      <c r="H34" s="6">
        <v>174.3</v>
      </c>
      <c r="I34" s="9" t="s">
        <v>62</v>
      </c>
      <c r="J34" s="5" t="s">
        <v>63</v>
      </c>
      <c r="K34" s="20" t="s">
        <v>111</v>
      </c>
      <c r="L34" s="20" t="s">
        <v>163</v>
      </c>
      <c r="M34" s="20">
        <v>22</v>
      </c>
      <c r="N34" s="20">
        <v>2</v>
      </c>
      <c r="O34" s="20" t="s">
        <v>111</v>
      </c>
      <c r="P34" s="20">
        <v>9</v>
      </c>
      <c r="Q34" s="20" t="s">
        <v>112</v>
      </c>
      <c r="R34" s="20" t="s">
        <v>131</v>
      </c>
      <c r="S34" s="20" t="s">
        <v>113</v>
      </c>
      <c r="T34" s="20" t="s">
        <v>129</v>
      </c>
      <c r="U34" s="66">
        <v>104509.218188115</v>
      </c>
      <c r="V34" s="66">
        <v>85272.480404783579</v>
      </c>
      <c r="W34" s="20" t="s">
        <v>131</v>
      </c>
      <c r="X34" s="20" t="s">
        <v>112</v>
      </c>
      <c r="Y34" s="20" t="s">
        <v>282</v>
      </c>
      <c r="Z34" s="20">
        <v>2</v>
      </c>
      <c r="AA34" s="20">
        <v>1</v>
      </c>
      <c r="AB34" s="20">
        <v>4</v>
      </c>
      <c r="AC34" s="20" t="s">
        <v>113</v>
      </c>
      <c r="AD34" s="20" t="s">
        <v>241</v>
      </c>
      <c r="AE34" s="20" t="s">
        <v>131</v>
      </c>
      <c r="AF34" s="20" t="s">
        <v>131</v>
      </c>
      <c r="AG34" s="20" t="s">
        <v>131</v>
      </c>
      <c r="AH34" s="20" t="s">
        <v>131</v>
      </c>
      <c r="AI34" s="20" t="s">
        <v>131</v>
      </c>
    </row>
    <row r="35" spans="1:35" ht="13.5" customHeight="1" x14ac:dyDescent="0.25">
      <c r="A35" s="4">
        <v>21</v>
      </c>
      <c r="B35" s="4">
        <v>19</v>
      </c>
      <c r="C35" s="4" t="s">
        <v>30</v>
      </c>
      <c r="D35" s="4" t="s">
        <v>11</v>
      </c>
      <c r="E35" s="4" t="s">
        <v>20</v>
      </c>
      <c r="F35" s="4" t="s">
        <v>37</v>
      </c>
      <c r="G35" s="4" t="s">
        <v>126</v>
      </c>
      <c r="H35" s="6">
        <v>28.9</v>
      </c>
      <c r="I35" s="9" t="s">
        <v>62</v>
      </c>
      <c r="J35" s="5"/>
      <c r="K35" s="20" t="s">
        <v>113</v>
      </c>
      <c r="L35" s="20" t="s">
        <v>171</v>
      </c>
      <c r="M35" s="20">
        <v>5</v>
      </c>
      <c r="N35" s="20">
        <v>11</v>
      </c>
      <c r="O35" s="20" t="s">
        <v>113</v>
      </c>
      <c r="P35" s="20">
        <v>35</v>
      </c>
      <c r="Q35" s="20" t="s">
        <v>113</v>
      </c>
      <c r="R35" s="20">
        <v>2070</v>
      </c>
      <c r="S35" s="20" t="s">
        <v>131</v>
      </c>
      <c r="T35" s="20" t="s">
        <v>131</v>
      </c>
      <c r="U35" s="66">
        <v>987.75550561845296</v>
      </c>
      <c r="V35" s="66">
        <v>843.20602852501281</v>
      </c>
      <c r="W35" s="20" t="s">
        <v>131</v>
      </c>
      <c r="X35" s="20" t="s">
        <v>113</v>
      </c>
      <c r="Y35" s="20" t="s">
        <v>279</v>
      </c>
      <c r="Z35" s="20">
        <v>4</v>
      </c>
      <c r="AA35" s="20">
        <v>3</v>
      </c>
      <c r="AB35" s="20">
        <v>5</v>
      </c>
      <c r="AC35" s="20" t="s">
        <v>131</v>
      </c>
      <c r="AD35" s="20" t="s">
        <v>131</v>
      </c>
      <c r="AE35" s="20" t="s">
        <v>112</v>
      </c>
      <c r="AF35" s="20" t="s">
        <v>113</v>
      </c>
      <c r="AG35" s="20" t="s">
        <v>131</v>
      </c>
      <c r="AH35" s="20" t="s">
        <v>113</v>
      </c>
      <c r="AI35" s="20" t="s">
        <v>113</v>
      </c>
    </row>
    <row r="36" spans="1:35" ht="13.5" customHeight="1" x14ac:dyDescent="0.25">
      <c r="A36" s="50">
        <v>22</v>
      </c>
      <c r="B36" s="4">
        <v>20</v>
      </c>
      <c r="C36" s="4" t="s">
        <v>30</v>
      </c>
      <c r="D36" s="4" t="s">
        <v>12</v>
      </c>
      <c r="E36" s="4" t="s">
        <v>181</v>
      </c>
      <c r="F36" s="4" t="s">
        <v>64</v>
      </c>
      <c r="G36" s="4" t="s">
        <v>13</v>
      </c>
      <c r="H36" s="6">
        <v>16.100000000000001</v>
      </c>
      <c r="I36" s="9" t="s">
        <v>62</v>
      </c>
      <c r="J36" s="5"/>
      <c r="K36" s="20" t="s">
        <v>112</v>
      </c>
      <c r="L36" s="20" t="s">
        <v>131</v>
      </c>
      <c r="M36" s="20"/>
      <c r="N36" s="20"/>
      <c r="O36" s="20" t="s">
        <v>112</v>
      </c>
      <c r="P36" s="20" t="s">
        <v>131</v>
      </c>
      <c r="Q36" s="20" t="s">
        <v>112</v>
      </c>
      <c r="R36" s="20" t="s">
        <v>131</v>
      </c>
      <c r="S36" s="20" t="s">
        <v>131</v>
      </c>
      <c r="T36" s="20" t="s">
        <v>131</v>
      </c>
      <c r="U36" s="66">
        <v>18693.216336633501</v>
      </c>
      <c r="V36" s="66">
        <v>7129.2836176617902</v>
      </c>
      <c r="W36" s="20" t="s">
        <v>131</v>
      </c>
      <c r="X36" s="20" t="s">
        <v>113</v>
      </c>
      <c r="Y36" s="20" t="s">
        <v>279</v>
      </c>
      <c r="Z36" s="20">
        <v>4</v>
      </c>
      <c r="AA36" s="20">
        <v>3</v>
      </c>
      <c r="AB36" s="20">
        <v>5</v>
      </c>
      <c r="AC36" s="20" t="s">
        <v>131</v>
      </c>
      <c r="AD36" s="20" t="s">
        <v>131</v>
      </c>
      <c r="AE36" s="20" t="s">
        <v>112</v>
      </c>
      <c r="AF36" s="20" t="s">
        <v>112</v>
      </c>
      <c r="AG36" s="20" t="s">
        <v>131</v>
      </c>
      <c r="AH36" s="20" t="s">
        <v>112</v>
      </c>
      <c r="AI36" s="20" t="s">
        <v>207</v>
      </c>
    </row>
    <row r="37" spans="1:35" ht="13.5" customHeight="1" x14ac:dyDescent="0.25">
      <c r="A37" s="4">
        <v>23</v>
      </c>
      <c r="B37" s="4">
        <v>21</v>
      </c>
      <c r="C37" s="4" t="s">
        <v>30</v>
      </c>
      <c r="D37" s="4" t="s">
        <v>65</v>
      </c>
      <c r="E37" s="4" t="s">
        <v>14</v>
      </c>
      <c r="F37" s="4" t="s">
        <v>43</v>
      </c>
      <c r="G37" s="4" t="s">
        <v>66</v>
      </c>
      <c r="H37" s="6">
        <v>10.3</v>
      </c>
      <c r="I37" s="9" t="s">
        <v>62</v>
      </c>
      <c r="J37" s="5"/>
      <c r="K37" s="20" t="s">
        <v>112</v>
      </c>
      <c r="L37" s="20" t="s">
        <v>131</v>
      </c>
      <c r="M37" s="20"/>
      <c r="N37" s="20"/>
      <c r="O37" s="20" t="s">
        <v>112</v>
      </c>
      <c r="P37" s="20" t="s">
        <v>131</v>
      </c>
      <c r="Q37" s="20" t="s">
        <v>112</v>
      </c>
      <c r="R37" s="20" t="s">
        <v>131</v>
      </c>
      <c r="S37" s="20" t="s">
        <v>131</v>
      </c>
      <c r="T37" s="20" t="s">
        <v>131</v>
      </c>
      <c r="U37" s="66">
        <v>4186.5768684227696</v>
      </c>
      <c r="V37" s="66">
        <v>3312.3132590077803</v>
      </c>
      <c r="W37" s="20" t="s">
        <v>131</v>
      </c>
      <c r="X37" s="20" t="s">
        <v>112</v>
      </c>
      <c r="Y37" s="20" t="s">
        <v>279</v>
      </c>
      <c r="Z37" s="20">
        <v>4</v>
      </c>
      <c r="AA37" s="20">
        <v>3</v>
      </c>
      <c r="AB37" s="20">
        <v>5</v>
      </c>
      <c r="AC37" s="20" t="s">
        <v>131</v>
      </c>
      <c r="AD37" s="20" t="s">
        <v>131</v>
      </c>
      <c r="AE37" s="20" t="s">
        <v>112</v>
      </c>
      <c r="AF37" s="20" t="s">
        <v>113</v>
      </c>
      <c r="AG37" s="20" t="s">
        <v>208</v>
      </c>
      <c r="AH37" s="20" t="s">
        <v>113</v>
      </c>
      <c r="AI37" s="20" t="s">
        <v>207</v>
      </c>
    </row>
    <row r="38" spans="1:35" ht="13.5" customHeight="1" x14ac:dyDescent="0.25">
      <c r="A38" s="7">
        <v>24</v>
      </c>
      <c r="B38" s="7">
        <v>22</v>
      </c>
      <c r="C38" s="4" t="s">
        <v>30</v>
      </c>
      <c r="D38" s="7" t="s">
        <v>67</v>
      </c>
      <c r="E38" s="7" t="s">
        <v>8</v>
      </c>
      <c r="F38" s="4" t="s">
        <v>37</v>
      </c>
      <c r="G38" s="7" t="s">
        <v>68</v>
      </c>
      <c r="H38" s="8">
        <v>9.6999999999999993</v>
      </c>
      <c r="I38" s="9" t="s">
        <v>62</v>
      </c>
      <c r="J38" s="5"/>
      <c r="K38" s="20" t="s">
        <v>112</v>
      </c>
      <c r="L38" s="20" t="s">
        <v>131</v>
      </c>
      <c r="M38" s="20"/>
      <c r="N38" s="20"/>
      <c r="O38" s="20" t="s">
        <v>112</v>
      </c>
      <c r="P38" s="20" t="s">
        <v>131</v>
      </c>
      <c r="Q38" s="20" t="s">
        <v>112</v>
      </c>
      <c r="R38" s="20" t="s">
        <v>131</v>
      </c>
      <c r="S38" s="20" t="s">
        <v>131</v>
      </c>
      <c r="T38" s="20" t="s">
        <v>131</v>
      </c>
      <c r="U38" s="66">
        <v>1654.86521496772</v>
      </c>
      <c r="V38" s="66">
        <v>1079.5156363883855</v>
      </c>
      <c r="W38" s="20" t="s">
        <v>131</v>
      </c>
      <c r="X38" s="20" t="s">
        <v>113</v>
      </c>
      <c r="Y38" s="20" t="s">
        <v>279</v>
      </c>
      <c r="Z38" s="20">
        <v>4</v>
      </c>
      <c r="AA38" s="20">
        <v>3</v>
      </c>
      <c r="AB38" s="20">
        <v>5</v>
      </c>
      <c r="AC38" s="20" t="s">
        <v>131</v>
      </c>
      <c r="AD38" s="20" t="s">
        <v>131</v>
      </c>
      <c r="AE38" s="20" t="s">
        <v>112</v>
      </c>
      <c r="AF38" s="20" t="s">
        <v>113</v>
      </c>
      <c r="AG38" s="20" t="s">
        <v>131</v>
      </c>
      <c r="AH38" s="20" t="s">
        <v>113</v>
      </c>
      <c r="AI38" s="20" t="s">
        <v>113</v>
      </c>
    </row>
    <row r="39" spans="1:35" ht="13.5" customHeight="1" x14ac:dyDescent="0.25">
      <c r="A39" s="50" t="s">
        <v>92</v>
      </c>
      <c r="B39" s="4" t="s">
        <v>92</v>
      </c>
      <c r="C39" s="4" t="s">
        <v>30</v>
      </c>
      <c r="D39" s="4" t="s">
        <v>107</v>
      </c>
      <c r="E39" s="4" t="s">
        <v>108</v>
      </c>
      <c r="F39" s="4" t="s">
        <v>109</v>
      </c>
      <c r="G39" s="4" t="s">
        <v>110</v>
      </c>
      <c r="H39" s="6">
        <v>4.5</v>
      </c>
      <c r="I39" s="9" t="s">
        <v>62</v>
      </c>
      <c r="J39" s="5"/>
      <c r="K39" s="20" t="s">
        <v>112</v>
      </c>
      <c r="L39" s="20" t="s">
        <v>131</v>
      </c>
      <c r="M39" s="20"/>
      <c r="N39" s="20"/>
      <c r="O39" s="20" t="s">
        <v>112</v>
      </c>
      <c r="P39" s="20" t="s">
        <v>131</v>
      </c>
      <c r="Q39" s="20" t="s">
        <v>112</v>
      </c>
      <c r="R39" s="20" t="s">
        <v>131</v>
      </c>
      <c r="S39" s="20" t="s">
        <v>131</v>
      </c>
      <c r="T39" s="20" t="s">
        <v>131</v>
      </c>
      <c r="U39" s="70" t="s">
        <v>92</v>
      </c>
      <c r="V39" s="70" t="s">
        <v>92</v>
      </c>
      <c r="W39" s="20" t="s">
        <v>92</v>
      </c>
      <c r="X39" s="20" t="s">
        <v>92</v>
      </c>
      <c r="Y39" s="20" t="s">
        <v>281</v>
      </c>
      <c r="Z39" s="20">
        <v>3</v>
      </c>
      <c r="AA39" s="20">
        <v>4</v>
      </c>
      <c r="AB39" s="20">
        <v>3</v>
      </c>
      <c r="AC39" s="20" t="s">
        <v>131</v>
      </c>
      <c r="AD39" s="20" t="s">
        <v>131</v>
      </c>
      <c r="AE39" s="20" t="s">
        <v>112</v>
      </c>
      <c r="AF39" s="20" t="s">
        <v>112</v>
      </c>
      <c r="AG39" s="20" t="s">
        <v>131</v>
      </c>
      <c r="AH39" s="20" t="s">
        <v>112</v>
      </c>
      <c r="AI39" s="20" t="s">
        <v>207</v>
      </c>
    </row>
    <row r="40" spans="1:35" ht="13.5" customHeight="1" x14ac:dyDescent="0.25">
      <c r="A40" s="4">
        <v>26</v>
      </c>
      <c r="B40" s="4">
        <v>23</v>
      </c>
      <c r="C40" s="4" t="s">
        <v>29</v>
      </c>
      <c r="D40" s="4" t="s">
        <v>71</v>
      </c>
      <c r="E40" s="4" t="s">
        <v>38</v>
      </c>
      <c r="F40" s="5" t="s">
        <v>39</v>
      </c>
      <c r="G40" s="4" t="s">
        <v>40</v>
      </c>
      <c r="H40" s="6">
        <v>4.0999999999999996</v>
      </c>
      <c r="I40" s="9" t="s">
        <v>62</v>
      </c>
      <c r="J40" s="5"/>
      <c r="K40" s="20" t="s">
        <v>111</v>
      </c>
      <c r="L40" s="20" t="s">
        <v>163</v>
      </c>
      <c r="M40" s="20">
        <v>15</v>
      </c>
      <c r="N40" s="20">
        <v>5</v>
      </c>
      <c r="O40" s="20" t="s">
        <v>111</v>
      </c>
      <c r="P40" s="20">
        <v>14</v>
      </c>
      <c r="Q40" s="20" t="s">
        <v>112</v>
      </c>
      <c r="R40" s="20" t="s">
        <v>131</v>
      </c>
      <c r="S40" s="20" t="s">
        <v>112</v>
      </c>
      <c r="T40" s="20" t="s">
        <v>131</v>
      </c>
      <c r="U40" s="66">
        <v>68996.204206148395</v>
      </c>
      <c r="V40" s="66">
        <v>63582.955337424391</v>
      </c>
      <c r="W40" s="20" t="s">
        <v>131</v>
      </c>
      <c r="X40" s="20" t="s">
        <v>112</v>
      </c>
      <c r="Y40" s="20" t="s">
        <v>282</v>
      </c>
      <c r="Z40" s="20">
        <v>2</v>
      </c>
      <c r="AA40" s="20">
        <v>1</v>
      </c>
      <c r="AB40" s="20">
        <v>4</v>
      </c>
      <c r="AC40" s="20" t="s">
        <v>112</v>
      </c>
      <c r="AD40" s="20" t="s">
        <v>131</v>
      </c>
      <c r="AE40" s="20" t="s">
        <v>131</v>
      </c>
      <c r="AF40" s="20" t="s">
        <v>131</v>
      </c>
      <c r="AG40" s="20" t="s">
        <v>131</v>
      </c>
      <c r="AH40" s="20" t="s">
        <v>131</v>
      </c>
      <c r="AI40" s="20" t="s">
        <v>131</v>
      </c>
    </row>
    <row r="41" spans="1:35" ht="13.5" customHeight="1" x14ac:dyDescent="0.25">
      <c r="A41" s="4">
        <v>28</v>
      </c>
      <c r="B41" s="4">
        <v>24</v>
      </c>
      <c r="C41" s="4" t="s">
        <v>30</v>
      </c>
      <c r="D41" s="4" t="s">
        <v>15</v>
      </c>
      <c r="E41" s="4" t="s">
        <v>181</v>
      </c>
      <c r="F41" s="4" t="s">
        <v>64</v>
      </c>
      <c r="G41" s="4" t="s">
        <v>74</v>
      </c>
      <c r="H41" s="6">
        <v>3.5</v>
      </c>
      <c r="I41" s="9" t="s">
        <v>62</v>
      </c>
      <c r="J41" s="5"/>
      <c r="K41" s="20" t="s">
        <v>112</v>
      </c>
      <c r="L41" s="20" t="s">
        <v>131</v>
      </c>
      <c r="M41" s="20"/>
      <c r="N41" s="20"/>
      <c r="O41" s="20" t="s">
        <v>112</v>
      </c>
      <c r="P41" s="20" t="s">
        <v>131</v>
      </c>
      <c r="Q41" s="20" t="s">
        <v>112</v>
      </c>
      <c r="R41" s="20" t="s">
        <v>131</v>
      </c>
      <c r="S41" s="20" t="s">
        <v>131</v>
      </c>
      <c r="T41" s="20" t="s">
        <v>131</v>
      </c>
      <c r="U41" s="66">
        <v>5208.5003479096704</v>
      </c>
      <c r="V41" s="66">
        <v>3797.0976317840145</v>
      </c>
      <c r="W41" s="20" t="s">
        <v>131</v>
      </c>
      <c r="X41" s="20" t="s">
        <v>113</v>
      </c>
      <c r="Y41" s="20" t="s">
        <v>281</v>
      </c>
      <c r="Z41" s="20">
        <v>3</v>
      </c>
      <c r="AA41" s="20">
        <v>4</v>
      </c>
      <c r="AB41" s="20">
        <v>3</v>
      </c>
      <c r="AC41" s="20" t="s">
        <v>131</v>
      </c>
      <c r="AD41" s="20" t="s">
        <v>131</v>
      </c>
      <c r="AE41" s="20" t="s">
        <v>112</v>
      </c>
      <c r="AF41" s="20" t="s">
        <v>112</v>
      </c>
      <c r="AG41" s="20" t="s">
        <v>208</v>
      </c>
      <c r="AH41" s="20" t="s">
        <v>112</v>
      </c>
      <c r="AI41" s="20" t="s">
        <v>207</v>
      </c>
    </row>
    <row r="42" spans="1:35" ht="13.5" customHeight="1" x14ac:dyDescent="0.25">
      <c r="A42" s="4">
        <v>29</v>
      </c>
      <c r="B42" s="4">
        <v>25</v>
      </c>
      <c r="C42" s="4" t="s">
        <v>30</v>
      </c>
      <c r="D42" s="4" t="s">
        <v>11</v>
      </c>
      <c r="E42" s="4" t="s">
        <v>17</v>
      </c>
      <c r="F42" s="4" t="s">
        <v>37</v>
      </c>
      <c r="G42" s="4" t="s">
        <v>125</v>
      </c>
      <c r="H42" s="6">
        <v>3.1</v>
      </c>
      <c r="I42" s="9" t="s">
        <v>62</v>
      </c>
      <c r="J42" s="5"/>
      <c r="K42" s="20" t="s">
        <v>113</v>
      </c>
      <c r="L42" s="20" t="s">
        <v>172</v>
      </c>
      <c r="M42" s="20">
        <v>1</v>
      </c>
      <c r="N42" s="20">
        <v>14</v>
      </c>
      <c r="O42" s="20" t="s">
        <v>113</v>
      </c>
      <c r="P42" s="20">
        <v>58</v>
      </c>
      <c r="Q42" s="20" t="s">
        <v>113</v>
      </c>
      <c r="R42" s="20">
        <v>2069</v>
      </c>
      <c r="S42" s="20" t="s">
        <v>131</v>
      </c>
      <c r="T42" s="20" t="s">
        <v>131</v>
      </c>
      <c r="U42" s="66">
        <v>4442.4674295559898</v>
      </c>
      <c r="V42" s="66">
        <v>4203.9319266208886</v>
      </c>
      <c r="W42" s="20" t="s">
        <v>131</v>
      </c>
      <c r="X42" s="20" t="s">
        <v>113</v>
      </c>
      <c r="Y42" s="20" t="s">
        <v>279</v>
      </c>
      <c r="Z42" s="20">
        <v>4</v>
      </c>
      <c r="AA42" s="20">
        <v>3</v>
      </c>
      <c r="AB42" s="20">
        <v>5</v>
      </c>
      <c r="AC42" s="20" t="s">
        <v>131</v>
      </c>
      <c r="AD42" s="20" t="s">
        <v>131</v>
      </c>
      <c r="AE42" s="20" t="s">
        <v>113</v>
      </c>
      <c r="AF42" s="20" t="s">
        <v>113</v>
      </c>
      <c r="AG42" s="20" t="s">
        <v>131</v>
      </c>
      <c r="AH42" s="20" t="s">
        <v>113</v>
      </c>
      <c r="AI42" s="20" t="s">
        <v>113</v>
      </c>
    </row>
    <row r="43" spans="1:35" ht="13.5" customHeight="1" x14ac:dyDescent="0.25">
      <c r="A43" s="4">
        <v>30</v>
      </c>
      <c r="B43" s="4">
        <v>26</v>
      </c>
      <c r="C43" s="4" t="s">
        <v>30</v>
      </c>
      <c r="D43" s="4" t="s">
        <v>6</v>
      </c>
      <c r="E43" s="4" t="s">
        <v>179</v>
      </c>
      <c r="F43" s="4" t="s">
        <v>43</v>
      </c>
      <c r="G43" s="4" t="s">
        <v>75</v>
      </c>
      <c r="H43" s="6">
        <v>0.3</v>
      </c>
      <c r="I43" s="9" t="s">
        <v>62</v>
      </c>
      <c r="J43" s="5"/>
      <c r="K43" s="20" t="s">
        <v>112</v>
      </c>
      <c r="L43" s="20" t="s">
        <v>131</v>
      </c>
      <c r="M43" s="20"/>
      <c r="N43" s="20"/>
      <c r="O43" s="20" t="s">
        <v>112</v>
      </c>
      <c r="P43" s="20" t="s">
        <v>131</v>
      </c>
      <c r="Q43" s="20" t="s">
        <v>112</v>
      </c>
      <c r="R43" s="20" t="s">
        <v>131</v>
      </c>
      <c r="S43" s="20" t="s">
        <v>131</v>
      </c>
      <c r="T43" s="20"/>
      <c r="U43" s="66">
        <v>2832.4312514029398</v>
      </c>
      <c r="V43" s="66">
        <v>2832.4312514029398</v>
      </c>
      <c r="W43" s="20" t="s">
        <v>131</v>
      </c>
      <c r="X43" s="20" t="s">
        <v>112</v>
      </c>
      <c r="Y43" s="20" t="s">
        <v>281</v>
      </c>
      <c r="Z43" s="20">
        <v>3</v>
      </c>
      <c r="AA43" s="20">
        <v>4</v>
      </c>
      <c r="AB43" s="20">
        <v>3</v>
      </c>
      <c r="AC43" s="20" t="s">
        <v>131</v>
      </c>
      <c r="AD43" s="20" t="s">
        <v>131</v>
      </c>
      <c r="AE43" s="20" t="s">
        <v>112</v>
      </c>
      <c r="AF43" s="20" t="s">
        <v>112</v>
      </c>
      <c r="AG43" s="20" t="s">
        <v>131</v>
      </c>
      <c r="AH43" s="20" t="s">
        <v>113</v>
      </c>
      <c r="AI43" s="20" t="s">
        <v>207</v>
      </c>
    </row>
    <row r="44" spans="1:35" ht="13.5" customHeight="1" x14ac:dyDescent="0.25">
      <c r="A44" s="4">
        <v>25</v>
      </c>
      <c r="B44" s="4">
        <v>27</v>
      </c>
      <c r="C44" s="4" t="s">
        <v>30</v>
      </c>
      <c r="D44" s="4" t="s">
        <v>27</v>
      </c>
      <c r="E44" s="4" t="s">
        <v>20</v>
      </c>
      <c r="F44" s="4" t="s">
        <v>37</v>
      </c>
      <c r="G44" s="4" t="s">
        <v>69</v>
      </c>
      <c r="H44" s="6">
        <f>5.1+29</f>
        <v>34.1</v>
      </c>
      <c r="I44" s="9" t="s">
        <v>70</v>
      </c>
      <c r="J44" s="5"/>
      <c r="K44" s="20" t="s">
        <v>113</v>
      </c>
      <c r="L44" s="20" t="s">
        <v>173</v>
      </c>
      <c r="M44" s="20">
        <v>8</v>
      </c>
      <c r="N44" s="20">
        <v>8</v>
      </c>
      <c r="O44" s="20" t="s">
        <v>113</v>
      </c>
      <c r="P44" s="20">
        <v>49</v>
      </c>
      <c r="Q44" s="20" t="s">
        <v>112</v>
      </c>
      <c r="R44" s="20" t="s">
        <v>131</v>
      </c>
      <c r="S44" s="20" t="s">
        <v>131</v>
      </c>
      <c r="T44" s="20" t="s">
        <v>131</v>
      </c>
      <c r="U44" s="66">
        <v>2332.08040820614</v>
      </c>
      <c r="V44" s="66">
        <v>875.59606202622228</v>
      </c>
      <c r="W44" s="20" t="s">
        <v>131</v>
      </c>
      <c r="X44" s="20" t="s">
        <v>113</v>
      </c>
      <c r="Y44" s="20" t="s">
        <v>279</v>
      </c>
      <c r="Z44" s="20">
        <v>4</v>
      </c>
      <c r="AA44" s="20">
        <v>3</v>
      </c>
      <c r="AB44" s="20">
        <v>5</v>
      </c>
      <c r="AC44" s="20" t="s">
        <v>131</v>
      </c>
      <c r="AD44" s="20" t="s">
        <v>131</v>
      </c>
      <c r="AE44" s="20" t="s">
        <v>112</v>
      </c>
      <c r="AF44" s="20" t="s">
        <v>113</v>
      </c>
      <c r="AG44" s="20" t="s">
        <v>209</v>
      </c>
      <c r="AH44" s="20" t="s">
        <v>113</v>
      </c>
      <c r="AI44" s="20" t="s">
        <v>113</v>
      </c>
    </row>
    <row r="45" spans="1:35" ht="13.5" customHeight="1" x14ac:dyDescent="0.25">
      <c r="A45" s="4">
        <v>27</v>
      </c>
      <c r="B45" s="4">
        <v>28</v>
      </c>
      <c r="C45" s="4" t="s">
        <v>30</v>
      </c>
      <c r="D45" s="4" t="s">
        <v>72</v>
      </c>
      <c r="E45" s="4" t="s">
        <v>20</v>
      </c>
      <c r="F45" s="4" t="s">
        <v>37</v>
      </c>
      <c r="G45" s="4" t="s">
        <v>73</v>
      </c>
      <c r="H45" s="6">
        <f>4.1+23.2</f>
        <v>27.299999999999997</v>
      </c>
      <c r="I45" s="9" t="s">
        <v>70</v>
      </c>
      <c r="J45" s="5"/>
      <c r="K45" s="20" t="s">
        <v>113</v>
      </c>
      <c r="L45" s="20" t="s">
        <v>174</v>
      </c>
      <c r="M45" s="20">
        <v>6</v>
      </c>
      <c r="N45" s="20">
        <v>10</v>
      </c>
      <c r="O45" s="20" t="s">
        <v>113</v>
      </c>
      <c r="P45" s="20">
        <v>37</v>
      </c>
      <c r="Q45" s="20" t="s">
        <v>112</v>
      </c>
      <c r="R45" s="20" t="s">
        <v>131</v>
      </c>
      <c r="S45" s="20" t="s">
        <v>131</v>
      </c>
      <c r="T45" s="20" t="s">
        <v>131</v>
      </c>
      <c r="U45" s="66">
        <v>2556.6300111772198</v>
      </c>
      <c r="V45" s="66">
        <v>2403.8888518279191</v>
      </c>
      <c r="W45" s="20" t="s">
        <v>131</v>
      </c>
      <c r="X45" s="20" t="s">
        <v>113</v>
      </c>
      <c r="Y45" s="20" t="s">
        <v>279</v>
      </c>
      <c r="Z45" s="20">
        <v>4</v>
      </c>
      <c r="AA45" s="20">
        <v>3</v>
      </c>
      <c r="AB45" s="20">
        <v>5</v>
      </c>
      <c r="AC45" s="20" t="s">
        <v>131</v>
      </c>
      <c r="AD45" s="20" t="s">
        <v>131</v>
      </c>
      <c r="AE45" s="20" t="s">
        <v>112</v>
      </c>
      <c r="AF45" s="20" t="s">
        <v>113</v>
      </c>
      <c r="AG45" s="20" t="s">
        <v>211</v>
      </c>
      <c r="AH45" s="20" t="s">
        <v>113</v>
      </c>
      <c r="AI45" s="20" t="s">
        <v>113</v>
      </c>
    </row>
    <row r="46" spans="1:35" ht="13.5" customHeight="1" x14ac:dyDescent="0.25">
      <c r="A46" s="7">
        <v>31</v>
      </c>
      <c r="B46" s="7">
        <v>29</v>
      </c>
      <c r="C46" s="4" t="s">
        <v>29</v>
      </c>
      <c r="D46" s="7" t="s">
        <v>16</v>
      </c>
      <c r="E46" s="7" t="s">
        <v>38</v>
      </c>
      <c r="F46" s="5" t="s">
        <v>39</v>
      </c>
      <c r="G46" s="7" t="s">
        <v>76</v>
      </c>
      <c r="H46" s="8">
        <v>386.2</v>
      </c>
      <c r="I46" s="10" t="s">
        <v>77</v>
      </c>
      <c r="J46" s="5"/>
      <c r="K46" s="20" t="s">
        <v>111</v>
      </c>
      <c r="L46" s="20" t="s">
        <v>163</v>
      </c>
      <c r="M46" s="20">
        <v>23</v>
      </c>
      <c r="N46" s="20">
        <v>1</v>
      </c>
      <c r="O46" s="20" t="s">
        <v>111</v>
      </c>
      <c r="P46" s="20">
        <v>6</v>
      </c>
      <c r="Q46" s="20" t="s">
        <v>112</v>
      </c>
      <c r="R46" s="20" t="s">
        <v>131</v>
      </c>
      <c r="S46" s="20" t="s">
        <v>113</v>
      </c>
      <c r="T46" s="20" t="s">
        <v>129</v>
      </c>
      <c r="U46" s="66">
        <v>119731.202728327</v>
      </c>
      <c r="V46" s="66">
        <v>119731.202728327</v>
      </c>
      <c r="W46" s="20" t="s">
        <v>131</v>
      </c>
      <c r="X46" s="20" t="s">
        <v>112</v>
      </c>
      <c r="Y46" s="20" t="s">
        <v>282</v>
      </c>
      <c r="Z46" s="20">
        <v>2</v>
      </c>
      <c r="AA46" s="20">
        <v>1</v>
      </c>
      <c r="AB46" s="20">
        <v>4</v>
      </c>
      <c r="AC46" s="20" t="s">
        <v>113</v>
      </c>
      <c r="AD46" s="20" t="s">
        <v>203</v>
      </c>
      <c r="AE46" s="20" t="s">
        <v>131</v>
      </c>
      <c r="AF46" s="20" t="s">
        <v>131</v>
      </c>
      <c r="AG46" s="20" t="s">
        <v>131</v>
      </c>
      <c r="AH46" s="20" t="s">
        <v>131</v>
      </c>
      <c r="AI46" s="20" t="s">
        <v>131</v>
      </c>
    </row>
    <row r="47" spans="1:35" ht="13.5" customHeight="1" x14ac:dyDescent="0.25">
      <c r="A47" s="7">
        <v>32</v>
      </c>
      <c r="B47" s="7">
        <v>30</v>
      </c>
      <c r="C47" s="4" t="s">
        <v>30</v>
      </c>
      <c r="D47" s="7" t="s">
        <v>78</v>
      </c>
      <c r="E47" s="7" t="s">
        <v>17</v>
      </c>
      <c r="F47" s="4" t="s">
        <v>37</v>
      </c>
      <c r="G47" s="7" t="s">
        <v>79</v>
      </c>
      <c r="H47" s="8">
        <v>72.400000000000006</v>
      </c>
      <c r="I47" s="10" t="s">
        <v>77</v>
      </c>
      <c r="J47" s="5"/>
      <c r="K47" s="20" t="s">
        <v>113</v>
      </c>
      <c r="L47" s="20" t="s">
        <v>175</v>
      </c>
      <c r="M47" s="20">
        <v>2</v>
      </c>
      <c r="N47" s="20">
        <v>13</v>
      </c>
      <c r="O47" s="20" t="s">
        <v>113</v>
      </c>
      <c r="P47" s="20">
        <v>56</v>
      </c>
      <c r="Q47" s="20" t="s">
        <v>112</v>
      </c>
      <c r="R47" s="20" t="s">
        <v>131</v>
      </c>
      <c r="S47" s="20" t="s">
        <v>131</v>
      </c>
      <c r="T47" s="20" t="s">
        <v>131</v>
      </c>
      <c r="U47" s="66">
        <v>1877.73704038654</v>
      </c>
      <c r="V47" s="66">
        <v>1269.4900429375896</v>
      </c>
      <c r="W47" s="20" t="s">
        <v>131</v>
      </c>
      <c r="X47" s="20" t="s">
        <v>113</v>
      </c>
      <c r="Y47" s="20" t="s">
        <v>279</v>
      </c>
      <c r="Z47" s="20">
        <v>4</v>
      </c>
      <c r="AA47" s="20">
        <v>3</v>
      </c>
      <c r="AB47" s="20">
        <v>5</v>
      </c>
      <c r="AC47" s="20" t="s">
        <v>131</v>
      </c>
      <c r="AD47" s="20" t="s">
        <v>131</v>
      </c>
      <c r="AE47" s="20" t="s">
        <v>113</v>
      </c>
      <c r="AF47" s="20" t="s">
        <v>113</v>
      </c>
      <c r="AG47" s="20" t="s">
        <v>131</v>
      </c>
      <c r="AH47" s="20" t="s">
        <v>113</v>
      </c>
      <c r="AI47" s="20" t="s">
        <v>113</v>
      </c>
    </row>
    <row r="48" spans="1:35" ht="13.5" customHeight="1" x14ac:dyDescent="0.25">
      <c r="A48" s="51">
        <v>33</v>
      </c>
      <c r="B48" s="7">
        <v>31</v>
      </c>
      <c r="C48" s="4" t="s">
        <v>30</v>
      </c>
      <c r="D48" s="7" t="s">
        <v>80</v>
      </c>
      <c r="E48" s="7" t="s">
        <v>18</v>
      </c>
      <c r="F48" s="7" t="s">
        <v>81</v>
      </c>
      <c r="G48" s="7" t="s">
        <v>19</v>
      </c>
      <c r="H48" s="8">
        <v>56.6</v>
      </c>
      <c r="I48" s="10" t="s">
        <v>77</v>
      </c>
      <c r="J48" s="5"/>
      <c r="K48" s="20" t="s">
        <v>112</v>
      </c>
      <c r="L48" s="20" t="s">
        <v>131</v>
      </c>
      <c r="M48" s="20"/>
      <c r="N48" s="20"/>
      <c r="O48" s="20" t="s">
        <v>112</v>
      </c>
      <c r="P48" s="20" t="s">
        <v>131</v>
      </c>
      <c r="Q48" s="20" t="s">
        <v>112</v>
      </c>
      <c r="R48" s="20" t="s">
        <v>131</v>
      </c>
      <c r="S48" s="20" t="s">
        <v>131</v>
      </c>
      <c r="T48" s="20" t="s">
        <v>131</v>
      </c>
      <c r="U48" s="66">
        <v>5652.4529695992796</v>
      </c>
      <c r="V48" s="66">
        <v>3690.3869794937823</v>
      </c>
      <c r="W48" s="20" t="s">
        <v>131</v>
      </c>
      <c r="X48" s="20" t="s">
        <v>113</v>
      </c>
      <c r="Y48" s="20" t="s">
        <v>281</v>
      </c>
      <c r="Z48" s="20">
        <v>3</v>
      </c>
      <c r="AA48" s="20">
        <v>4</v>
      </c>
      <c r="AB48" s="20">
        <v>3</v>
      </c>
      <c r="AC48" s="20" t="s">
        <v>131</v>
      </c>
      <c r="AD48" s="20" t="s">
        <v>131</v>
      </c>
      <c r="AE48" s="20" t="s">
        <v>113</v>
      </c>
      <c r="AF48" s="20" t="s">
        <v>113</v>
      </c>
      <c r="AG48" s="20" t="s">
        <v>131</v>
      </c>
      <c r="AH48" s="20" t="s">
        <v>113</v>
      </c>
      <c r="AI48" s="20" t="s">
        <v>113</v>
      </c>
    </row>
    <row r="49" spans="1:35" ht="13.5" customHeight="1" x14ac:dyDescent="0.25">
      <c r="A49" s="7">
        <v>34</v>
      </c>
      <c r="B49" s="7">
        <v>32</v>
      </c>
      <c r="C49" s="4" t="s">
        <v>30</v>
      </c>
      <c r="D49" s="7" t="s">
        <v>82</v>
      </c>
      <c r="E49" s="7" t="s">
        <v>20</v>
      </c>
      <c r="F49" s="4" t="s">
        <v>37</v>
      </c>
      <c r="G49" s="7" t="s">
        <v>83</v>
      </c>
      <c r="H49" s="8">
        <v>47.5</v>
      </c>
      <c r="I49" s="10" t="s">
        <v>77</v>
      </c>
      <c r="J49" s="5"/>
      <c r="K49" s="20" t="s">
        <v>113</v>
      </c>
      <c r="L49" s="20" t="s">
        <v>176</v>
      </c>
      <c r="M49" s="20">
        <v>7</v>
      </c>
      <c r="N49" s="20">
        <v>9</v>
      </c>
      <c r="O49" s="20" t="s">
        <v>113</v>
      </c>
      <c r="P49" s="20">
        <v>50</v>
      </c>
      <c r="Q49" s="20" t="s">
        <v>113</v>
      </c>
      <c r="R49" s="20">
        <v>2117</v>
      </c>
      <c r="S49" s="20" t="s">
        <v>131</v>
      </c>
      <c r="T49" s="20" t="s">
        <v>131</v>
      </c>
      <c r="U49" s="66">
        <v>4745.16709213993</v>
      </c>
      <c r="V49" s="66">
        <v>4235.0949745479638</v>
      </c>
      <c r="W49" s="20" t="s">
        <v>131</v>
      </c>
      <c r="X49" s="20" t="s">
        <v>113</v>
      </c>
      <c r="Y49" s="20" t="s">
        <v>279</v>
      </c>
      <c r="Z49" s="20">
        <v>4</v>
      </c>
      <c r="AA49" s="20">
        <v>3</v>
      </c>
      <c r="AB49" s="20">
        <v>5</v>
      </c>
      <c r="AC49" s="20" t="s">
        <v>131</v>
      </c>
      <c r="AD49" s="20" t="s">
        <v>131</v>
      </c>
      <c r="AE49" s="20" t="s">
        <v>112</v>
      </c>
      <c r="AF49" s="20" t="s">
        <v>113</v>
      </c>
      <c r="AG49" s="20" t="s">
        <v>209</v>
      </c>
      <c r="AH49" s="20" t="s">
        <v>113</v>
      </c>
      <c r="AI49" s="20" t="s">
        <v>113</v>
      </c>
    </row>
    <row r="50" spans="1:35" ht="13.5" customHeight="1" x14ac:dyDescent="0.25">
      <c r="A50" s="7">
        <v>35</v>
      </c>
      <c r="B50" s="7">
        <v>33</v>
      </c>
      <c r="C50" s="4" t="s">
        <v>30</v>
      </c>
      <c r="D50" s="7" t="s">
        <v>4</v>
      </c>
      <c r="E50" s="7" t="s">
        <v>5</v>
      </c>
      <c r="F50" s="7" t="s">
        <v>84</v>
      </c>
      <c r="G50" s="7" t="s">
        <v>85</v>
      </c>
      <c r="H50" s="8">
        <v>38.6</v>
      </c>
      <c r="I50" s="10" t="s">
        <v>77</v>
      </c>
      <c r="J50" s="5"/>
      <c r="K50" s="20" t="s">
        <v>113</v>
      </c>
      <c r="L50" s="20" t="s">
        <v>178</v>
      </c>
      <c r="M50" s="20">
        <v>12</v>
      </c>
      <c r="N50" s="20">
        <v>4</v>
      </c>
      <c r="O50" s="20" t="s">
        <v>112</v>
      </c>
      <c r="P50" s="20" t="s">
        <v>131</v>
      </c>
      <c r="Q50" s="20" t="s">
        <v>113</v>
      </c>
      <c r="R50" s="20">
        <v>2107</v>
      </c>
      <c r="S50" s="20" t="s">
        <v>131</v>
      </c>
      <c r="T50" s="20" t="s">
        <v>131</v>
      </c>
      <c r="U50" s="66">
        <v>273.69524868604498</v>
      </c>
      <c r="V50" s="66">
        <v>192.45989065541679</v>
      </c>
      <c r="W50" s="20" t="s">
        <v>131</v>
      </c>
      <c r="X50" s="20" t="s">
        <v>112</v>
      </c>
      <c r="Y50" s="20" t="s">
        <v>281</v>
      </c>
      <c r="Z50" s="20">
        <v>3</v>
      </c>
      <c r="AA50" s="20">
        <v>4</v>
      </c>
      <c r="AB50" s="20">
        <v>3</v>
      </c>
      <c r="AC50" s="20" t="s">
        <v>131</v>
      </c>
      <c r="AD50" s="20" t="s">
        <v>131</v>
      </c>
      <c r="AE50" s="20" t="s">
        <v>112</v>
      </c>
      <c r="AF50" s="20" t="s">
        <v>112</v>
      </c>
      <c r="AG50" s="20" t="s">
        <v>131</v>
      </c>
      <c r="AH50" s="20" t="s">
        <v>113</v>
      </c>
      <c r="AI50" s="20" t="s">
        <v>207</v>
      </c>
    </row>
    <row r="51" spans="1:35" ht="13.5" customHeight="1" x14ac:dyDescent="0.25">
      <c r="A51" s="7">
        <v>36</v>
      </c>
      <c r="B51" s="7">
        <v>34</v>
      </c>
      <c r="C51" s="4" t="s">
        <v>30</v>
      </c>
      <c r="D51" s="7" t="s">
        <v>11</v>
      </c>
      <c r="E51" s="7" t="s">
        <v>8</v>
      </c>
      <c r="F51" s="4" t="s">
        <v>37</v>
      </c>
      <c r="G51" s="7" t="s">
        <v>86</v>
      </c>
      <c r="H51" s="8">
        <v>25.3</v>
      </c>
      <c r="I51" s="10" t="s">
        <v>77</v>
      </c>
      <c r="J51" s="5"/>
      <c r="K51" s="20" t="s">
        <v>113</v>
      </c>
      <c r="L51" s="20" t="s">
        <v>166</v>
      </c>
      <c r="M51" s="20">
        <v>10</v>
      </c>
      <c r="N51" s="20">
        <v>6</v>
      </c>
      <c r="O51" s="20" t="s">
        <v>113</v>
      </c>
      <c r="P51" s="20">
        <v>20</v>
      </c>
      <c r="Q51" s="20" t="s">
        <v>113</v>
      </c>
      <c r="R51" s="20">
        <v>2071</v>
      </c>
      <c r="S51" s="20" t="s">
        <v>131</v>
      </c>
      <c r="T51" s="20" t="s">
        <v>131</v>
      </c>
      <c r="U51" s="66">
        <v>11793.3692143278</v>
      </c>
      <c r="V51" s="66">
        <v>11793.3692143278</v>
      </c>
      <c r="W51" s="20" t="s">
        <v>131</v>
      </c>
      <c r="X51" s="20" t="s">
        <v>113</v>
      </c>
      <c r="Y51" s="20" t="s">
        <v>279</v>
      </c>
      <c r="Z51" s="20">
        <v>4</v>
      </c>
      <c r="AA51" s="20">
        <v>3</v>
      </c>
      <c r="AB51" s="20">
        <v>5</v>
      </c>
      <c r="AC51" s="20" t="s">
        <v>131</v>
      </c>
      <c r="AD51" s="20" t="s">
        <v>131</v>
      </c>
      <c r="AE51" s="20" t="s">
        <v>112</v>
      </c>
      <c r="AF51" s="20" t="s">
        <v>113</v>
      </c>
      <c r="AG51" s="20" t="s">
        <v>208</v>
      </c>
      <c r="AH51" s="20" t="s">
        <v>113</v>
      </c>
      <c r="AI51" s="20" t="s">
        <v>113</v>
      </c>
    </row>
    <row r="52" spans="1:35" ht="13.5" customHeight="1" x14ac:dyDescent="0.25">
      <c r="A52" s="51">
        <v>37</v>
      </c>
      <c r="B52" s="7">
        <v>35</v>
      </c>
      <c r="C52" s="4" t="s">
        <v>30</v>
      </c>
      <c r="D52" s="7" t="s">
        <v>87</v>
      </c>
      <c r="E52" s="7" t="s">
        <v>21</v>
      </c>
      <c r="F52" s="7" t="s">
        <v>84</v>
      </c>
      <c r="G52" s="7" t="s">
        <v>88</v>
      </c>
      <c r="H52" s="8">
        <v>15.6</v>
      </c>
      <c r="I52" s="10" t="s">
        <v>77</v>
      </c>
      <c r="J52" s="5"/>
      <c r="K52" s="20" t="s">
        <v>112</v>
      </c>
      <c r="L52" s="20" t="s">
        <v>131</v>
      </c>
      <c r="M52" s="20"/>
      <c r="N52" s="20"/>
      <c r="O52" s="20" t="s">
        <v>112</v>
      </c>
      <c r="P52" s="20" t="s">
        <v>131</v>
      </c>
      <c r="Q52" s="20" t="s">
        <v>112</v>
      </c>
      <c r="R52" s="20" t="s">
        <v>131</v>
      </c>
      <c r="S52" s="20" t="s">
        <v>131</v>
      </c>
      <c r="T52" s="20" t="s">
        <v>131</v>
      </c>
      <c r="U52" s="66">
        <v>2959.2489745378598</v>
      </c>
      <c r="V52" s="66">
        <v>2592.800638195547</v>
      </c>
      <c r="W52" s="20" t="s">
        <v>131</v>
      </c>
      <c r="X52" s="20" t="s">
        <v>112</v>
      </c>
      <c r="Y52" s="20" t="s">
        <v>281</v>
      </c>
      <c r="Z52" s="20">
        <v>3</v>
      </c>
      <c r="AA52" s="20">
        <v>4</v>
      </c>
      <c r="AB52" s="20">
        <v>3</v>
      </c>
      <c r="AC52" s="20" t="s">
        <v>131</v>
      </c>
      <c r="AD52" s="20" t="s">
        <v>131</v>
      </c>
      <c r="AE52" s="20" t="s">
        <v>112</v>
      </c>
      <c r="AF52" s="20" t="s">
        <v>113</v>
      </c>
      <c r="AG52" s="20" t="s">
        <v>131</v>
      </c>
      <c r="AH52" s="20" t="s">
        <v>113</v>
      </c>
      <c r="AI52" s="20" t="s">
        <v>207</v>
      </c>
    </row>
    <row r="53" spans="1:35" ht="13.5" customHeight="1" x14ac:dyDescent="0.25">
      <c r="A53" s="7">
        <v>38</v>
      </c>
      <c r="B53" s="7">
        <v>36</v>
      </c>
      <c r="C53" s="4" t="s">
        <v>30</v>
      </c>
      <c r="D53" s="7" t="s">
        <v>11</v>
      </c>
      <c r="E53" s="7" t="s">
        <v>89</v>
      </c>
      <c r="F53" s="4" t="s">
        <v>37</v>
      </c>
      <c r="G53" s="7" t="s">
        <v>90</v>
      </c>
      <c r="H53" s="8">
        <v>13.1</v>
      </c>
      <c r="I53" s="10" t="s">
        <v>77</v>
      </c>
      <c r="J53" s="5"/>
      <c r="K53" s="20" t="s">
        <v>113</v>
      </c>
      <c r="L53" s="20" t="s">
        <v>177</v>
      </c>
      <c r="M53" s="20">
        <v>9</v>
      </c>
      <c r="N53" s="20">
        <v>7</v>
      </c>
      <c r="O53" s="20" t="s">
        <v>113</v>
      </c>
      <c r="P53" s="20">
        <v>24</v>
      </c>
      <c r="Q53" s="20" t="s">
        <v>112</v>
      </c>
      <c r="R53" s="20" t="s">
        <v>131</v>
      </c>
      <c r="S53" s="20" t="s">
        <v>131</v>
      </c>
      <c r="T53" s="20" t="s">
        <v>131</v>
      </c>
      <c r="U53" s="66">
        <v>12081.381461134801</v>
      </c>
      <c r="V53" s="66">
        <v>12081.381461134801</v>
      </c>
      <c r="W53" s="20" t="s">
        <v>131</v>
      </c>
      <c r="X53" s="20" t="s">
        <v>113</v>
      </c>
      <c r="Y53" s="20" t="s">
        <v>279</v>
      </c>
      <c r="Z53" s="20">
        <v>4</v>
      </c>
      <c r="AA53" s="20">
        <v>3</v>
      </c>
      <c r="AB53" s="20">
        <v>5</v>
      </c>
      <c r="AC53" s="20" t="s">
        <v>131</v>
      </c>
      <c r="AD53" s="20" t="s">
        <v>131</v>
      </c>
      <c r="AE53" s="20" t="s">
        <v>112</v>
      </c>
      <c r="AF53" s="20" t="s">
        <v>113</v>
      </c>
      <c r="AG53" s="20" t="s">
        <v>210</v>
      </c>
      <c r="AH53" s="20" t="s">
        <v>113</v>
      </c>
      <c r="AI53" s="20" t="s">
        <v>112</v>
      </c>
    </row>
  </sheetData>
  <autoFilter ref="A2:AI53">
    <sortState ref="A3:AG53">
      <sortCondition ref="I3:I53"/>
      <sortCondition descending="1" ref="H3:H53"/>
    </sortState>
  </autoFilter>
  <sortState ref="A3:AG57">
    <sortCondition ref="I3:I57"/>
    <sortCondition descending="1" ref="H3:H57"/>
  </sortState>
  <mergeCells count="8">
    <mergeCell ref="K1:N1"/>
    <mergeCell ref="AC1:AD1"/>
    <mergeCell ref="AE1:AI1"/>
    <mergeCell ref="O1:P1"/>
    <mergeCell ref="Q1:R1"/>
    <mergeCell ref="S1:T1"/>
    <mergeCell ref="U1:X1"/>
    <mergeCell ref="Y1:AB1"/>
  </mergeCells>
  <pageMargins left="0.5" right="0.5" top="0.5" bottom="0.5" header="0.25" footer="0.25"/>
  <pageSetup scale="55" orientation="landscape" r:id="rId1"/>
  <headerFooter>
    <oddHeader>&amp;C&amp;"Tw Cen MT,Regular"&amp;18Commitment 2040: Financially Feasible Major Capital Projects, 2019 - 2040</oddHeader>
    <oddFooter>&amp;C&amp;"Tw Cen MT,Regular"&amp;16&amp;KFF0000DRAFT (May 23, 2014)&amp;R&amp;"Tw Cen MT,Regular"&amp;16&amp;P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7:K24"/>
  <sheetViews>
    <sheetView showGridLines="0" workbookViewId="0">
      <selection activeCell="K15" sqref="K15:K16"/>
    </sheetView>
  </sheetViews>
  <sheetFormatPr defaultRowHeight="15.75" x14ac:dyDescent="0.25"/>
  <cols>
    <col min="1" max="1" width="28" style="22" customWidth="1"/>
    <col min="2" max="5" width="18.7109375" style="22" customWidth="1"/>
    <col min="6" max="8" width="9.140625" style="22"/>
    <col min="9" max="9" width="28.28515625" style="22" customWidth="1"/>
    <col min="10" max="10" width="12.85546875" style="22" bestFit="1" customWidth="1"/>
    <col min="11" max="11" width="15.5703125" style="22" bestFit="1" customWidth="1"/>
    <col min="12" max="16384" width="9.140625" style="22"/>
  </cols>
  <sheetData>
    <row r="7" spans="1:11" ht="15.75" customHeight="1" x14ac:dyDescent="0.25">
      <c r="A7" s="146" t="s">
        <v>136</v>
      </c>
      <c r="B7" s="146"/>
      <c r="C7" s="146"/>
      <c r="D7" s="146"/>
      <c r="E7" s="146"/>
    </row>
    <row r="8" spans="1:11" ht="15.75" customHeight="1" x14ac:dyDescent="0.25">
      <c r="A8" s="139" t="s">
        <v>137</v>
      </c>
      <c r="B8" s="139"/>
      <c r="C8" s="139"/>
      <c r="D8" s="139"/>
      <c r="E8" s="139"/>
    </row>
    <row r="9" spans="1:11" x14ac:dyDescent="0.25">
      <c r="A9" s="147" t="s">
        <v>155</v>
      </c>
      <c r="B9" s="147"/>
      <c r="C9" s="147"/>
      <c r="D9" s="147"/>
      <c r="E9" s="147"/>
    </row>
    <row r="10" spans="1:11" x14ac:dyDescent="0.25">
      <c r="A10" s="75"/>
      <c r="B10" s="75"/>
      <c r="C10" s="75"/>
      <c r="D10" s="75"/>
      <c r="E10" s="75"/>
    </row>
    <row r="11" spans="1:11" ht="31.5" customHeight="1" x14ac:dyDescent="0.25">
      <c r="A11" s="148" t="s">
        <v>309</v>
      </c>
      <c r="B11" s="148"/>
      <c r="C11" s="148"/>
      <c r="D11" s="148"/>
      <c r="E11" s="148"/>
    </row>
    <row r="12" spans="1:11" x14ac:dyDescent="0.25">
      <c r="D12" s="35"/>
    </row>
    <row r="13" spans="1:11" ht="19.5" customHeight="1" x14ac:dyDescent="0.25">
      <c r="A13" s="25" t="s">
        <v>228</v>
      </c>
      <c r="B13" s="26"/>
      <c r="C13" s="26"/>
      <c r="D13" s="26"/>
      <c r="E13" s="26"/>
      <c r="I13" s="46" t="s">
        <v>312</v>
      </c>
    </row>
    <row r="14" spans="1:11" ht="31.5" customHeight="1" x14ac:dyDescent="0.25">
      <c r="A14" s="31" t="s">
        <v>128</v>
      </c>
      <c r="B14" s="37" t="s">
        <v>157</v>
      </c>
      <c r="C14" s="37" t="s">
        <v>146</v>
      </c>
      <c r="D14" s="37" t="s">
        <v>135</v>
      </c>
      <c r="E14" s="37" t="s">
        <v>138</v>
      </c>
      <c r="J14" s="23" t="s">
        <v>231</v>
      </c>
      <c r="K14" s="23" t="s">
        <v>232</v>
      </c>
    </row>
    <row r="15" spans="1:11" x14ac:dyDescent="0.25">
      <c r="A15" s="22" t="s">
        <v>311</v>
      </c>
      <c r="B15" s="23">
        <f>COUNTIFS('Data-Projects'!C3:C53,"T")</f>
        <v>10</v>
      </c>
      <c r="C15" s="24">
        <f>B15/$B$17</f>
        <v>0.20833333333333334</v>
      </c>
      <c r="D15" s="29">
        <f>SUMIFS('Data-Projects'!H3:H53,'Data-Projects'!C3:C53,"T")</f>
        <v>840.3</v>
      </c>
      <c r="E15" s="24">
        <f>D15/$D$17</f>
        <v>0.55264715554094046</v>
      </c>
      <c r="I15" s="22" t="s">
        <v>311</v>
      </c>
      <c r="J15" s="24">
        <f>C15</f>
        <v>0.20833333333333334</v>
      </c>
      <c r="K15" s="24">
        <f>E15</f>
        <v>0.55264715554094046</v>
      </c>
    </row>
    <row r="16" spans="1:11" x14ac:dyDescent="0.25">
      <c r="A16" s="22" t="s">
        <v>310</v>
      </c>
      <c r="B16" s="23">
        <f>COUNTIFS('Data-Projects'!C3:C53,"R")</f>
        <v>38</v>
      </c>
      <c r="C16" s="24">
        <f>B16/$B$17</f>
        <v>0.79166666666666663</v>
      </c>
      <c r="D16" s="29">
        <f>SUMIFS('Data-Projects'!H3:H53,'Data-Projects'!C3:C53,"R")</f>
        <v>680.20000000000016</v>
      </c>
      <c r="E16" s="24">
        <f>D16/$D$17</f>
        <v>0.44735284445905965</v>
      </c>
      <c r="I16" s="22" t="s">
        <v>310</v>
      </c>
      <c r="J16" s="24">
        <f>C16</f>
        <v>0.79166666666666663</v>
      </c>
      <c r="K16" s="24">
        <f>E16</f>
        <v>0.44735284445905965</v>
      </c>
    </row>
    <row r="17" spans="1:9" ht="19.5" customHeight="1" x14ac:dyDescent="0.25">
      <c r="A17" s="38" t="s">
        <v>134</v>
      </c>
      <c r="B17" s="39">
        <f>SUM(B15:B16)</f>
        <v>48</v>
      </c>
      <c r="C17" s="40">
        <f>SUM(C15:C16)</f>
        <v>1</v>
      </c>
      <c r="D17" s="41">
        <f>SUM(D15:D16)</f>
        <v>1520.5</v>
      </c>
      <c r="E17" s="40">
        <f>SUM(E15:E16)</f>
        <v>1</v>
      </c>
    </row>
    <row r="20" spans="1:9" x14ac:dyDescent="0.25">
      <c r="B20" s="60"/>
    </row>
    <row r="21" spans="1:9" x14ac:dyDescent="0.25">
      <c r="A21" s="59"/>
      <c r="B21" s="60"/>
      <c r="I21" s="46"/>
    </row>
    <row r="22" spans="1:9" x14ac:dyDescent="0.25">
      <c r="A22" s="59"/>
      <c r="B22" s="60"/>
    </row>
    <row r="23" spans="1:9" x14ac:dyDescent="0.25">
      <c r="A23" s="59"/>
      <c r="B23" s="60"/>
    </row>
    <row r="24" spans="1:9" x14ac:dyDescent="0.25">
      <c r="A24" s="59"/>
      <c r="B24" s="60"/>
    </row>
  </sheetData>
  <mergeCells count="4">
    <mergeCell ref="A7:E7"/>
    <mergeCell ref="A8:E8"/>
    <mergeCell ref="A9:E9"/>
    <mergeCell ref="A11:E11"/>
  </mergeCells>
  <printOptions horizontalCentered="1" verticalCentered="1"/>
  <pageMargins left="0.5" right="0.5" top="0.5" bottom="0.5" header="0.25" footer="0.25"/>
  <pageSetup orientation="portrait" r:id="rId1"/>
  <headerFooter>
    <oddFooter>&amp;C&amp;"Tw Cen MT,Regular"&amp;12&amp;P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7:K26"/>
  <sheetViews>
    <sheetView showGridLines="0" workbookViewId="0">
      <selection activeCell="A16" sqref="A16"/>
    </sheetView>
  </sheetViews>
  <sheetFormatPr defaultRowHeight="15.75" x14ac:dyDescent="0.25"/>
  <cols>
    <col min="1" max="1" width="28" style="22" customWidth="1"/>
    <col min="2" max="5" width="18.7109375" style="22" customWidth="1"/>
    <col min="6" max="8" width="9.140625" style="22"/>
    <col min="9" max="9" width="28.28515625" style="22" customWidth="1"/>
    <col min="10" max="10" width="12.85546875" style="22" bestFit="1" customWidth="1"/>
    <col min="11" max="11" width="15.5703125" style="22" bestFit="1" customWidth="1"/>
    <col min="12" max="16384" width="9.140625" style="22"/>
  </cols>
  <sheetData>
    <row r="7" spans="1:11" ht="15.75" customHeight="1" x14ac:dyDescent="0.25">
      <c r="A7" s="146" t="s">
        <v>136</v>
      </c>
      <c r="B7" s="146"/>
      <c r="C7" s="146"/>
      <c r="D7" s="146"/>
      <c r="E7" s="146"/>
    </row>
    <row r="8" spans="1:11" ht="15.75" customHeight="1" x14ac:dyDescent="0.25">
      <c r="A8" s="139" t="s">
        <v>137</v>
      </c>
      <c r="B8" s="139"/>
      <c r="C8" s="139"/>
      <c r="D8" s="139"/>
      <c r="E8" s="139"/>
    </row>
    <row r="9" spans="1:11" x14ac:dyDescent="0.25">
      <c r="A9" s="147" t="s">
        <v>155</v>
      </c>
      <c r="B9" s="147"/>
      <c r="C9" s="147"/>
      <c r="D9" s="147"/>
      <c r="E9" s="147"/>
    </row>
    <row r="10" spans="1:11" x14ac:dyDescent="0.25">
      <c r="A10" s="75"/>
      <c r="B10" s="75"/>
      <c r="C10" s="75"/>
      <c r="D10" s="75"/>
      <c r="E10" s="75"/>
    </row>
    <row r="11" spans="1:11" ht="31.5" customHeight="1" x14ac:dyDescent="0.25">
      <c r="A11" s="148" t="s">
        <v>309</v>
      </c>
      <c r="B11" s="148"/>
      <c r="C11" s="148"/>
      <c r="D11" s="148"/>
      <c r="E11" s="148"/>
    </row>
    <row r="12" spans="1:11" x14ac:dyDescent="0.25">
      <c r="D12" s="35"/>
    </row>
    <row r="13" spans="1:11" ht="19.5" customHeight="1" x14ac:dyDescent="0.25">
      <c r="A13" s="25" t="s">
        <v>228</v>
      </c>
      <c r="B13" s="26"/>
      <c r="C13" s="26"/>
      <c r="D13" s="26"/>
      <c r="E13" s="26"/>
      <c r="I13" s="46" t="s">
        <v>313</v>
      </c>
    </row>
    <row r="14" spans="1:11" ht="31.5" customHeight="1" x14ac:dyDescent="0.25">
      <c r="A14" s="31" t="s">
        <v>128</v>
      </c>
      <c r="B14" s="37" t="s">
        <v>157</v>
      </c>
      <c r="C14" s="37" t="s">
        <v>146</v>
      </c>
      <c r="D14" s="37" t="s">
        <v>135</v>
      </c>
      <c r="E14" s="37" t="s">
        <v>138</v>
      </c>
      <c r="J14" s="23" t="s">
        <v>231</v>
      </c>
      <c r="K14" s="23" t="s">
        <v>232</v>
      </c>
    </row>
    <row r="15" spans="1:11" x14ac:dyDescent="0.25">
      <c r="A15" s="22" t="s">
        <v>34</v>
      </c>
      <c r="B15" s="23">
        <f>COUNTIFS('Data-Projects'!I3:I53,"2019 - 2020")</f>
        <v>9</v>
      </c>
      <c r="C15" s="24">
        <f>B15/$B$19</f>
        <v>0.19148936170212766</v>
      </c>
      <c r="D15" s="29">
        <f>SUMIFS('Data-Projects'!H3:H53,'Data-Projects'!I3:I53,"2019 - 2020")</f>
        <v>86.600000000000009</v>
      </c>
      <c r="E15" s="24">
        <f>D15/$D$19</f>
        <v>0.11293688054251433</v>
      </c>
      <c r="I15" s="22" t="str">
        <f>A15</f>
        <v>2019 - 2020</v>
      </c>
      <c r="J15" s="24">
        <f>C15</f>
        <v>0.19148936170212766</v>
      </c>
      <c r="K15" s="24">
        <f>E15</f>
        <v>0.11293688054251433</v>
      </c>
    </row>
    <row r="16" spans="1:11" x14ac:dyDescent="0.25">
      <c r="A16" s="22" t="s">
        <v>54</v>
      </c>
      <c r="B16" s="23"/>
      <c r="C16" s="24"/>
      <c r="D16" s="29"/>
      <c r="E16" s="24"/>
      <c r="I16" s="22" t="str">
        <f t="shared" ref="I16:I18" si="0">A16</f>
        <v>2021 - 2025</v>
      </c>
      <c r="J16" s="24">
        <f t="shared" ref="J16:J18" si="1">C16</f>
        <v>0</v>
      </c>
      <c r="K16" s="24">
        <f t="shared" ref="K16:K18" si="2">E16</f>
        <v>0</v>
      </c>
    </row>
    <row r="17" spans="1:11" x14ac:dyDescent="0.25">
      <c r="A17" s="22" t="s">
        <v>62</v>
      </c>
      <c r="B17" s="23"/>
      <c r="C17" s="24"/>
      <c r="D17" s="29"/>
      <c r="E17" s="24"/>
      <c r="I17" s="22" t="str">
        <f t="shared" si="0"/>
        <v>2026 - 2030</v>
      </c>
      <c r="J17" s="24">
        <f t="shared" si="1"/>
        <v>0</v>
      </c>
      <c r="K17" s="24">
        <f t="shared" si="2"/>
        <v>0</v>
      </c>
    </row>
    <row r="18" spans="1:11" x14ac:dyDescent="0.25">
      <c r="A18" s="22" t="s">
        <v>77</v>
      </c>
      <c r="B18" s="23">
        <f>COUNTIFS('Data-Projects'!C3:C53,"R")</f>
        <v>38</v>
      </c>
      <c r="C18" s="24">
        <f>B18/$B$19</f>
        <v>0.80851063829787229</v>
      </c>
      <c r="D18" s="29">
        <f>SUMIFS('Data-Projects'!H3:H53,'Data-Projects'!C3:C53,"R")</f>
        <v>680.20000000000016</v>
      </c>
      <c r="E18" s="24">
        <f>D18/$D$19</f>
        <v>0.88706311945748562</v>
      </c>
      <c r="I18" s="22" t="str">
        <f t="shared" si="0"/>
        <v>2031 - 2040</v>
      </c>
      <c r="J18" s="24">
        <f t="shared" si="1"/>
        <v>0.80851063829787229</v>
      </c>
      <c r="K18" s="24">
        <f t="shared" si="2"/>
        <v>0.88706311945748562</v>
      </c>
    </row>
    <row r="19" spans="1:11" ht="19.5" customHeight="1" x14ac:dyDescent="0.25">
      <c r="A19" s="38" t="s">
        <v>134</v>
      </c>
      <c r="B19" s="39">
        <f>SUM(B15:B18)</f>
        <v>47</v>
      </c>
      <c r="C19" s="40">
        <f>SUM(C15:C18)</f>
        <v>1</v>
      </c>
      <c r="D19" s="41">
        <f>SUM(D15:D18)</f>
        <v>766.80000000000018</v>
      </c>
      <c r="E19" s="40">
        <f>SUM(E15:E18)</f>
        <v>1</v>
      </c>
    </row>
    <row r="22" spans="1:11" x14ac:dyDescent="0.25">
      <c r="B22" s="60"/>
    </row>
    <row r="23" spans="1:11" x14ac:dyDescent="0.25">
      <c r="A23" s="59"/>
      <c r="B23" s="60"/>
      <c r="I23" s="46"/>
    </row>
    <row r="24" spans="1:11" x14ac:dyDescent="0.25">
      <c r="A24" s="59"/>
      <c r="B24" s="60"/>
    </row>
    <row r="25" spans="1:11" x14ac:dyDescent="0.25">
      <c r="A25" s="59"/>
      <c r="B25" s="60"/>
    </row>
    <row r="26" spans="1:11" x14ac:dyDescent="0.25">
      <c r="A26" s="59"/>
      <c r="B26" s="60"/>
    </row>
  </sheetData>
  <mergeCells count="4">
    <mergeCell ref="A7:E7"/>
    <mergeCell ref="A8:E8"/>
    <mergeCell ref="A9:E9"/>
    <mergeCell ref="A11:E11"/>
  </mergeCells>
  <printOptions horizontalCentered="1" verticalCentered="1"/>
  <pageMargins left="0.5" right="0.5" top="0.5" bottom="0.5" header="0.25" footer="0.25"/>
  <pageSetup orientation="portrait" r:id="rId1"/>
  <headerFooter>
    <oddFooter>&amp;C&amp;"Tw Cen MT,Regular"&amp;12&amp;P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  <pageSetUpPr fitToPage="1"/>
  </sheetPr>
  <dimension ref="A1:AG62"/>
  <sheetViews>
    <sheetView showGridLines="0" zoomScaleNormal="100" workbookViewId="0">
      <pane xSplit="5" ySplit="4" topLeftCell="F5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RowHeight="15.75" x14ac:dyDescent="0.25"/>
  <cols>
    <col min="1" max="1" width="7.5703125" style="14" hidden="1" customWidth="1"/>
    <col min="2" max="2" width="7.5703125" style="22" customWidth="1"/>
    <col min="3" max="3" width="5.85546875" style="14" hidden="1" customWidth="1"/>
    <col min="4" max="4" width="32.7109375" style="22" customWidth="1"/>
    <col min="5" max="5" width="66.7109375" style="22" customWidth="1"/>
    <col min="6" max="6" width="72.7109375" style="14" hidden="1" customWidth="1"/>
    <col min="7" max="7" width="63.5703125" style="22" customWidth="1"/>
    <col min="8" max="8" width="10.7109375" style="22" customWidth="1"/>
    <col min="9" max="9" width="16.85546875" style="22" customWidth="1"/>
    <col min="10" max="10" width="96.42578125" style="14" hidden="1" customWidth="1"/>
    <col min="11" max="33" width="12.7109375" style="14" hidden="1" customWidth="1"/>
    <col min="34" max="16384" width="9.140625" style="22"/>
  </cols>
  <sheetData>
    <row r="1" spans="1:33" ht="25.5" x14ac:dyDescent="0.25">
      <c r="B1" s="137" t="s">
        <v>136</v>
      </c>
      <c r="C1" s="138"/>
      <c r="D1" s="137"/>
      <c r="E1" s="137"/>
      <c r="F1" s="138"/>
      <c r="G1" s="137"/>
      <c r="H1" s="137"/>
      <c r="I1" s="137"/>
    </row>
    <row r="2" spans="1:33" ht="16.5" customHeight="1" x14ac:dyDescent="0.25">
      <c r="A2" s="15" t="s">
        <v>302</v>
      </c>
      <c r="B2" s="139" t="s">
        <v>137</v>
      </c>
      <c r="C2" s="140"/>
      <c r="D2" s="139"/>
      <c r="E2" s="139"/>
      <c r="F2" s="140"/>
      <c r="G2" s="139"/>
      <c r="H2" s="139"/>
      <c r="I2" s="139"/>
      <c r="J2" s="16" t="s">
        <v>33</v>
      </c>
      <c r="K2" s="135" t="s">
        <v>162</v>
      </c>
      <c r="L2" s="135"/>
      <c r="M2" s="136" t="s">
        <v>120</v>
      </c>
      <c r="N2" s="136"/>
      <c r="O2" s="135" t="s">
        <v>119</v>
      </c>
      <c r="P2" s="135"/>
      <c r="Q2" s="136" t="s">
        <v>127</v>
      </c>
      <c r="R2" s="136"/>
      <c r="S2" s="135" t="s">
        <v>121</v>
      </c>
      <c r="T2" s="135"/>
      <c r="U2" s="135"/>
      <c r="V2" s="135"/>
      <c r="W2" s="135" t="s">
        <v>198</v>
      </c>
      <c r="X2" s="135"/>
      <c r="Y2" s="135"/>
      <c r="Z2" s="135"/>
      <c r="AA2" s="135" t="s">
        <v>199</v>
      </c>
      <c r="AB2" s="135"/>
      <c r="AC2" s="135" t="s">
        <v>206</v>
      </c>
      <c r="AD2" s="135"/>
      <c r="AE2" s="135"/>
      <c r="AF2" s="135"/>
      <c r="AG2" s="135"/>
    </row>
    <row r="3" spans="1:33" x14ac:dyDescent="0.25">
      <c r="A3" s="15"/>
      <c r="B3" s="27"/>
      <c r="C3" s="79"/>
      <c r="D3" s="27"/>
      <c r="E3" s="27"/>
      <c r="F3" s="79"/>
      <c r="G3" s="27"/>
      <c r="H3" s="27"/>
      <c r="I3" s="27"/>
      <c r="J3" s="16"/>
      <c r="K3" s="76"/>
      <c r="L3" s="76"/>
      <c r="M3" s="77"/>
      <c r="N3" s="77"/>
      <c r="O3" s="76"/>
      <c r="P3" s="76"/>
      <c r="Q3" s="77"/>
      <c r="R3" s="77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</row>
    <row r="4" spans="1:33" ht="24" customHeight="1" x14ac:dyDescent="0.25">
      <c r="A4" s="15" t="s">
        <v>31</v>
      </c>
      <c r="B4" s="101" t="s">
        <v>123</v>
      </c>
      <c r="C4" s="15" t="s">
        <v>28</v>
      </c>
      <c r="D4" s="99" t="s">
        <v>0</v>
      </c>
      <c r="E4" s="99" t="s">
        <v>1</v>
      </c>
      <c r="F4" s="78" t="s">
        <v>32</v>
      </c>
      <c r="G4" s="99" t="s">
        <v>2</v>
      </c>
      <c r="H4" s="100" t="s">
        <v>334</v>
      </c>
      <c r="I4" s="101" t="s">
        <v>23</v>
      </c>
      <c r="J4" s="16"/>
      <c r="K4" s="77" t="s">
        <v>122</v>
      </c>
      <c r="L4" s="77" t="s">
        <v>180</v>
      </c>
      <c r="M4" s="77" t="s">
        <v>122</v>
      </c>
      <c r="N4" s="77" t="s">
        <v>124</v>
      </c>
      <c r="O4" s="76" t="s">
        <v>122</v>
      </c>
      <c r="P4" s="76" t="s">
        <v>123</v>
      </c>
      <c r="Q4" s="77" t="s">
        <v>122</v>
      </c>
      <c r="R4" s="77" t="s">
        <v>28</v>
      </c>
      <c r="S4" s="77" t="s">
        <v>284</v>
      </c>
      <c r="T4" s="77" t="s">
        <v>285</v>
      </c>
      <c r="U4" s="77" t="s">
        <v>287</v>
      </c>
      <c r="V4" s="76" t="s">
        <v>286</v>
      </c>
      <c r="W4" s="76" t="s">
        <v>277</v>
      </c>
      <c r="X4" s="76" t="s">
        <v>195</v>
      </c>
      <c r="Y4" s="76" t="s">
        <v>196</v>
      </c>
      <c r="Z4" s="76" t="s">
        <v>197</v>
      </c>
      <c r="AA4" s="76" t="s">
        <v>200</v>
      </c>
      <c r="AB4" s="76" t="s">
        <v>201</v>
      </c>
      <c r="AC4" s="76" t="s">
        <v>225</v>
      </c>
      <c r="AD4" s="76" t="s">
        <v>226</v>
      </c>
      <c r="AE4" s="76" t="s">
        <v>227</v>
      </c>
      <c r="AF4" s="76" t="s">
        <v>204</v>
      </c>
      <c r="AG4" s="76" t="s">
        <v>205</v>
      </c>
    </row>
    <row r="5" spans="1:33" ht="14.45" customHeight="1" x14ac:dyDescent="0.25">
      <c r="A5" s="4">
        <v>1</v>
      </c>
      <c r="B5" s="94">
        <v>1</v>
      </c>
      <c r="C5" s="2" t="s">
        <v>29</v>
      </c>
      <c r="D5" s="83" t="s">
        <v>26</v>
      </c>
      <c r="E5" s="81" t="s">
        <v>3</v>
      </c>
      <c r="F5" s="1" t="s">
        <v>35</v>
      </c>
      <c r="G5" s="81" t="s">
        <v>336</v>
      </c>
      <c r="H5" s="85">
        <v>30.6</v>
      </c>
      <c r="I5" s="86" t="s">
        <v>34</v>
      </c>
      <c r="J5" s="1" t="s">
        <v>36</v>
      </c>
      <c r="K5" s="11" t="s">
        <v>113</v>
      </c>
      <c r="L5" s="11" t="s">
        <v>163</v>
      </c>
      <c r="M5" s="11" t="s">
        <v>113</v>
      </c>
      <c r="N5" s="11">
        <v>3</v>
      </c>
      <c r="O5" s="11" t="s">
        <v>112</v>
      </c>
      <c r="P5" s="11" t="s">
        <v>131</v>
      </c>
      <c r="Q5" s="11" t="s">
        <v>113</v>
      </c>
      <c r="R5" s="11" t="s">
        <v>130</v>
      </c>
      <c r="S5" s="65">
        <v>11512.4607116809</v>
      </c>
      <c r="T5" s="65">
        <v>9218.6707087533905</v>
      </c>
      <c r="U5" s="11" t="s">
        <v>131</v>
      </c>
      <c r="V5" s="11" t="s">
        <v>113</v>
      </c>
      <c r="W5" s="11" t="s">
        <v>280</v>
      </c>
      <c r="X5" s="11">
        <v>1</v>
      </c>
      <c r="Y5" s="11">
        <v>2</v>
      </c>
      <c r="Z5" s="11">
        <v>2</v>
      </c>
      <c r="AA5" s="11" t="s">
        <v>113</v>
      </c>
      <c r="AB5" s="11" t="s">
        <v>202</v>
      </c>
      <c r="AC5" s="11" t="s">
        <v>131</v>
      </c>
      <c r="AD5" s="11" t="s">
        <v>131</v>
      </c>
      <c r="AE5" s="11" t="s">
        <v>131</v>
      </c>
      <c r="AF5" s="11" t="s">
        <v>131</v>
      </c>
      <c r="AG5" s="11" t="s">
        <v>131</v>
      </c>
    </row>
    <row r="6" spans="1:33" ht="14.45" customHeight="1" x14ac:dyDescent="0.25">
      <c r="A6" s="4">
        <v>2</v>
      </c>
      <c r="B6" s="95">
        <v>2</v>
      </c>
      <c r="C6" s="2" t="s">
        <v>30</v>
      </c>
      <c r="D6" s="82" t="s">
        <v>314</v>
      </c>
      <c r="E6" s="82" t="s">
        <v>181</v>
      </c>
      <c r="F6" s="4" t="s">
        <v>37</v>
      </c>
      <c r="G6" s="82" t="s">
        <v>304</v>
      </c>
      <c r="H6" s="87">
        <v>23.1</v>
      </c>
      <c r="I6" s="88" t="s">
        <v>34</v>
      </c>
      <c r="J6" s="1"/>
      <c r="K6" s="11" t="s">
        <v>113</v>
      </c>
      <c r="L6" s="11" t="s">
        <v>305</v>
      </c>
      <c r="M6" s="11" t="s">
        <v>113</v>
      </c>
      <c r="N6" s="11">
        <v>16</v>
      </c>
      <c r="O6" s="11" t="s">
        <v>113</v>
      </c>
      <c r="P6" s="11">
        <v>2065</v>
      </c>
      <c r="Q6" s="11" t="s">
        <v>131</v>
      </c>
      <c r="R6" s="11" t="s">
        <v>131</v>
      </c>
      <c r="S6" s="65">
        <v>6790.01398859853</v>
      </c>
      <c r="T6" s="65">
        <v>4526.7809341091906</v>
      </c>
      <c r="U6" s="11" t="s">
        <v>131</v>
      </c>
      <c r="V6" s="11" t="s">
        <v>113</v>
      </c>
      <c r="W6" s="11" t="s">
        <v>279</v>
      </c>
      <c r="X6" s="11">
        <v>4</v>
      </c>
      <c r="Y6" s="11">
        <v>3</v>
      </c>
      <c r="Z6" s="11">
        <v>5</v>
      </c>
      <c r="AA6" s="11" t="s">
        <v>131</v>
      </c>
      <c r="AB6" s="11" t="s">
        <v>131</v>
      </c>
      <c r="AC6" s="11" t="s">
        <v>112</v>
      </c>
      <c r="AD6" s="11" t="s">
        <v>112</v>
      </c>
      <c r="AE6" s="11" t="s">
        <v>131</v>
      </c>
      <c r="AF6" s="11" t="s">
        <v>112</v>
      </c>
      <c r="AG6" s="11" t="s">
        <v>207</v>
      </c>
    </row>
    <row r="7" spans="1:33" ht="14.45" customHeight="1" x14ac:dyDescent="0.25">
      <c r="A7" s="4">
        <v>4</v>
      </c>
      <c r="B7" s="95">
        <v>3</v>
      </c>
      <c r="C7" s="2" t="s">
        <v>30</v>
      </c>
      <c r="D7" s="82" t="s">
        <v>6</v>
      </c>
      <c r="E7" s="82" t="s">
        <v>7</v>
      </c>
      <c r="F7" s="4" t="s">
        <v>43</v>
      </c>
      <c r="G7" s="82" t="s">
        <v>44</v>
      </c>
      <c r="H7" s="87">
        <v>14.5</v>
      </c>
      <c r="I7" s="88" t="s">
        <v>34</v>
      </c>
      <c r="J7" s="1"/>
      <c r="K7" s="11" t="s">
        <v>113</v>
      </c>
      <c r="L7" s="11" t="s">
        <v>164</v>
      </c>
      <c r="M7" s="11" t="s">
        <v>113</v>
      </c>
      <c r="N7" s="11">
        <v>41</v>
      </c>
      <c r="O7" s="11" t="s">
        <v>112</v>
      </c>
      <c r="P7" s="11" t="s">
        <v>131</v>
      </c>
      <c r="Q7" s="11" t="s">
        <v>131</v>
      </c>
      <c r="R7" s="11" t="s">
        <v>131</v>
      </c>
      <c r="S7" s="11" t="s">
        <v>131</v>
      </c>
      <c r="T7" s="11" t="s">
        <v>131</v>
      </c>
      <c r="U7" s="11" t="s">
        <v>131</v>
      </c>
      <c r="V7" s="11" t="s">
        <v>131</v>
      </c>
      <c r="W7" s="11" t="s">
        <v>281</v>
      </c>
      <c r="X7" s="11">
        <v>3</v>
      </c>
      <c r="Y7" s="11">
        <v>4</v>
      </c>
      <c r="Z7" s="11">
        <v>3</v>
      </c>
      <c r="AA7" s="11" t="s">
        <v>131</v>
      </c>
      <c r="AB7" s="11" t="s">
        <v>131</v>
      </c>
      <c r="AC7" s="11" t="s">
        <v>112</v>
      </c>
      <c r="AD7" s="11" t="s">
        <v>112</v>
      </c>
      <c r="AE7" s="11" t="s">
        <v>131</v>
      </c>
      <c r="AF7" s="11" t="s">
        <v>113</v>
      </c>
      <c r="AG7" s="11" t="s">
        <v>112</v>
      </c>
    </row>
    <row r="8" spans="1:33" ht="14.45" customHeight="1" x14ac:dyDescent="0.25">
      <c r="A8" s="4">
        <v>6</v>
      </c>
      <c r="B8" s="95">
        <v>4</v>
      </c>
      <c r="C8" s="2" t="s">
        <v>29</v>
      </c>
      <c r="D8" s="82" t="s">
        <v>47</v>
      </c>
      <c r="E8" s="82" t="s">
        <v>38</v>
      </c>
      <c r="F8" s="1" t="s">
        <v>39</v>
      </c>
      <c r="G8" s="82" t="s">
        <v>48</v>
      </c>
      <c r="H8" s="87">
        <v>5.9</v>
      </c>
      <c r="I8" s="88" t="s">
        <v>34</v>
      </c>
      <c r="J8" s="1"/>
      <c r="K8" s="11" t="s">
        <v>111</v>
      </c>
      <c r="L8" s="11" t="s">
        <v>163</v>
      </c>
      <c r="M8" s="11" t="s">
        <v>111</v>
      </c>
      <c r="N8" s="11">
        <v>4</v>
      </c>
      <c r="O8" s="11" t="s">
        <v>112</v>
      </c>
      <c r="P8" s="11" t="s">
        <v>131</v>
      </c>
      <c r="Q8" s="11" t="s">
        <v>111</v>
      </c>
      <c r="R8" s="11" t="s">
        <v>129</v>
      </c>
      <c r="S8" s="65">
        <v>21092.114120151899</v>
      </c>
      <c r="T8" s="65">
        <v>11786.093532493525</v>
      </c>
      <c r="U8" s="11" t="s">
        <v>131</v>
      </c>
      <c r="V8" s="11" t="s">
        <v>112</v>
      </c>
      <c r="W8" s="11" t="s">
        <v>282</v>
      </c>
      <c r="X8" s="11">
        <v>2</v>
      </c>
      <c r="Y8" s="11">
        <v>1</v>
      </c>
      <c r="Z8" s="11">
        <v>4</v>
      </c>
      <c r="AA8" s="11" t="s">
        <v>112</v>
      </c>
      <c r="AB8" s="11" t="s">
        <v>131</v>
      </c>
      <c r="AC8" s="11" t="s">
        <v>131</v>
      </c>
      <c r="AD8" s="11" t="s">
        <v>131</v>
      </c>
      <c r="AE8" s="11" t="s">
        <v>131</v>
      </c>
      <c r="AF8" s="11" t="s">
        <v>131</v>
      </c>
      <c r="AG8" s="11" t="s">
        <v>131</v>
      </c>
    </row>
    <row r="9" spans="1:33" ht="14.45" customHeight="1" x14ac:dyDescent="0.25">
      <c r="A9" s="4" t="s">
        <v>92</v>
      </c>
      <c r="B9" s="95" t="s">
        <v>92</v>
      </c>
      <c r="C9" s="4" t="s">
        <v>29</v>
      </c>
      <c r="D9" s="82" t="s">
        <v>96</v>
      </c>
      <c r="E9" s="82" t="s">
        <v>97</v>
      </c>
      <c r="F9" s="4" t="s">
        <v>98</v>
      </c>
      <c r="G9" s="82" t="s">
        <v>99</v>
      </c>
      <c r="H9" s="87">
        <v>5.7</v>
      </c>
      <c r="I9" s="89" t="s">
        <v>34</v>
      </c>
      <c r="J9" s="1"/>
      <c r="K9" s="20" t="s">
        <v>112</v>
      </c>
      <c r="L9" s="20" t="s">
        <v>131</v>
      </c>
      <c r="M9" s="20" t="s">
        <v>113</v>
      </c>
      <c r="N9" s="20">
        <v>40</v>
      </c>
      <c r="O9" s="20" t="s">
        <v>112</v>
      </c>
      <c r="P9" s="20" t="s">
        <v>131</v>
      </c>
      <c r="Q9" s="20" t="s">
        <v>112</v>
      </c>
      <c r="R9" s="20" t="s">
        <v>131</v>
      </c>
      <c r="S9" s="70" t="s">
        <v>92</v>
      </c>
      <c r="T9" s="70" t="s">
        <v>92</v>
      </c>
      <c r="U9" s="20" t="s">
        <v>92</v>
      </c>
      <c r="V9" s="20" t="s">
        <v>92</v>
      </c>
      <c r="W9" s="20" t="s">
        <v>280</v>
      </c>
      <c r="X9" s="20">
        <v>1</v>
      </c>
      <c r="Y9" s="20">
        <v>2</v>
      </c>
      <c r="Z9" s="20">
        <v>2</v>
      </c>
      <c r="AA9" s="20" t="s">
        <v>112</v>
      </c>
      <c r="AB9" s="20" t="s">
        <v>131</v>
      </c>
      <c r="AC9" s="20" t="s">
        <v>131</v>
      </c>
      <c r="AD9" s="20" t="s">
        <v>131</v>
      </c>
      <c r="AE9" s="20" t="s">
        <v>131</v>
      </c>
      <c r="AF9" s="20" t="s">
        <v>131</v>
      </c>
      <c r="AG9" s="20" t="s">
        <v>131</v>
      </c>
    </row>
    <row r="10" spans="1:33" ht="14.45" customHeight="1" x14ac:dyDescent="0.25">
      <c r="A10" s="4">
        <v>7</v>
      </c>
      <c r="B10" s="95">
        <v>5</v>
      </c>
      <c r="C10" s="2" t="s">
        <v>29</v>
      </c>
      <c r="D10" s="82" t="s">
        <v>49</v>
      </c>
      <c r="E10" s="82" t="s">
        <v>38</v>
      </c>
      <c r="F10" s="1" t="s">
        <v>39</v>
      </c>
      <c r="G10" s="82" t="s">
        <v>50</v>
      </c>
      <c r="H10" s="87">
        <v>3.7</v>
      </c>
      <c r="I10" s="88" t="s">
        <v>34</v>
      </c>
      <c r="J10" s="1"/>
      <c r="K10" s="11" t="s">
        <v>111</v>
      </c>
      <c r="L10" s="11" t="s">
        <v>163</v>
      </c>
      <c r="M10" s="11" t="s">
        <v>111</v>
      </c>
      <c r="N10" s="11">
        <v>7</v>
      </c>
      <c r="O10" s="11" t="s">
        <v>112</v>
      </c>
      <c r="P10" s="11" t="s">
        <v>131</v>
      </c>
      <c r="Q10" s="11" t="s">
        <v>113</v>
      </c>
      <c r="R10" s="11" t="s">
        <v>129</v>
      </c>
      <c r="S10" s="65">
        <v>52317.338849107</v>
      </c>
      <c r="T10" s="65">
        <v>35357.460441668838</v>
      </c>
      <c r="U10" s="11" t="s">
        <v>131</v>
      </c>
      <c r="V10" s="11" t="s">
        <v>112</v>
      </c>
      <c r="W10" s="11" t="s">
        <v>282</v>
      </c>
      <c r="X10" s="11">
        <v>2</v>
      </c>
      <c r="Y10" s="11">
        <v>1</v>
      </c>
      <c r="Z10" s="11">
        <v>4</v>
      </c>
      <c r="AA10" s="11" t="s">
        <v>113</v>
      </c>
      <c r="AB10" s="11" t="s">
        <v>203</v>
      </c>
      <c r="AC10" s="11" t="s">
        <v>131</v>
      </c>
      <c r="AD10" s="11" t="s">
        <v>131</v>
      </c>
      <c r="AE10" s="11" t="s">
        <v>131</v>
      </c>
      <c r="AF10" s="11" t="s">
        <v>131</v>
      </c>
      <c r="AG10" s="11" t="s">
        <v>131</v>
      </c>
    </row>
    <row r="11" spans="1:33" ht="14.45" customHeight="1" x14ac:dyDescent="0.25">
      <c r="A11" s="4" t="s">
        <v>92</v>
      </c>
      <c r="B11" s="95" t="s">
        <v>92</v>
      </c>
      <c r="C11" s="4" t="s">
        <v>30</v>
      </c>
      <c r="D11" s="82" t="s">
        <v>100</v>
      </c>
      <c r="E11" s="82" t="s">
        <v>101</v>
      </c>
      <c r="F11" s="4" t="s">
        <v>94</v>
      </c>
      <c r="G11" s="82" t="s">
        <v>99</v>
      </c>
      <c r="H11" s="87">
        <v>1.5</v>
      </c>
      <c r="I11" s="89" t="s">
        <v>34</v>
      </c>
      <c r="J11" s="5"/>
      <c r="K11" s="20" t="s">
        <v>112</v>
      </c>
      <c r="L11" s="20" t="s">
        <v>131</v>
      </c>
      <c r="M11" s="20" t="s">
        <v>112</v>
      </c>
      <c r="N11" s="20" t="s">
        <v>131</v>
      </c>
      <c r="O11" s="20" t="s">
        <v>112</v>
      </c>
      <c r="P11" s="20" t="s">
        <v>131</v>
      </c>
      <c r="Q11" s="20" t="s">
        <v>131</v>
      </c>
      <c r="R11" s="20" t="s">
        <v>131</v>
      </c>
      <c r="S11" s="70" t="s">
        <v>92</v>
      </c>
      <c r="T11" s="70" t="s">
        <v>92</v>
      </c>
      <c r="U11" s="20" t="s">
        <v>92</v>
      </c>
      <c r="V11" s="20" t="s">
        <v>92</v>
      </c>
      <c r="W11" s="20" t="s">
        <v>279</v>
      </c>
      <c r="X11" s="20">
        <v>4</v>
      </c>
      <c r="Y11" s="20">
        <v>3</v>
      </c>
      <c r="Z11" s="20">
        <v>5</v>
      </c>
      <c r="AA11" s="20" t="s">
        <v>131</v>
      </c>
      <c r="AB11" s="20" t="s">
        <v>131</v>
      </c>
      <c r="AC11" s="20" t="s">
        <v>112</v>
      </c>
      <c r="AD11" s="20" t="s">
        <v>112</v>
      </c>
      <c r="AE11" s="20" t="s">
        <v>131</v>
      </c>
      <c r="AF11" s="20" t="s">
        <v>113</v>
      </c>
      <c r="AG11" s="20" t="s">
        <v>112</v>
      </c>
    </row>
    <row r="12" spans="1:33" ht="14.45" customHeight="1" x14ac:dyDescent="0.25">
      <c r="A12" s="4" t="s">
        <v>92</v>
      </c>
      <c r="B12" s="95" t="s">
        <v>92</v>
      </c>
      <c r="C12" s="4" t="s">
        <v>30</v>
      </c>
      <c r="D12" s="82" t="s">
        <v>102</v>
      </c>
      <c r="E12" s="82" t="s">
        <v>93</v>
      </c>
      <c r="F12" s="4" t="s">
        <v>94</v>
      </c>
      <c r="G12" s="82" t="s">
        <v>103</v>
      </c>
      <c r="H12" s="87">
        <v>1.1000000000000001</v>
      </c>
      <c r="I12" s="89" t="s">
        <v>34</v>
      </c>
      <c r="J12" s="5"/>
      <c r="K12" s="20" t="s">
        <v>112</v>
      </c>
      <c r="L12" s="20" t="s">
        <v>131</v>
      </c>
      <c r="M12" s="20" t="s">
        <v>112</v>
      </c>
      <c r="N12" s="20" t="s">
        <v>131</v>
      </c>
      <c r="O12" s="20" t="s">
        <v>112</v>
      </c>
      <c r="P12" s="20" t="s">
        <v>131</v>
      </c>
      <c r="Q12" s="20" t="s">
        <v>131</v>
      </c>
      <c r="R12" s="20" t="s">
        <v>131</v>
      </c>
      <c r="S12" s="70" t="s">
        <v>92</v>
      </c>
      <c r="T12" s="70" t="s">
        <v>92</v>
      </c>
      <c r="U12" s="20" t="s">
        <v>92</v>
      </c>
      <c r="V12" s="20" t="s">
        <v>92</v>
      </c>
      <c r="W12" s="20" t="s">
        <v>279</v>
      </c>
      <c r="X12" s="20">
        <v>4</v>
      </c>
      <c r="Y12" s="20">
        <v>3</v>
      </c>
      <c r="Z12" s="20">
        <v>5</v>
      </c>
      <c r="AA12" s="20" t="s">
        <v>131</v>
      </c>
      <c r="AB12" s="20" t="s">
        <v>131</v>
      </c>
      <c r="AC12" s="20" t="s">
        <v>112</v>
      </c>
      <c r="AD12" s="20" t="s">
        <v>112</v>
      </c>
      <c r="AE12" s="20" t="s">
        <v>131</v>
      </c>
      <c r="AF12" s="20" t="s">
        <v>113</v>
      </c>
      <c r="AG12" s="20" t="s">
        <v>112</v>
      </c>
    </row>
    <row r="13" spans="1:33" ht="14.45" customHeight="1" x14ac:dyDescent="0.25">
      <c r="A13" s="4">
        <v>9</v>
      </c>
      <c r="B13" s="95">
        <v>6</v>
      </c>
      <c r="C13" s="4" t="s">
        <v>30</v>
      </c>
      <c r="D13" s="82" t="s">
        <v>6</v>
      </c>
      <c r="E13" s="82" t="s">
        <v>7</v>
      </c>
      <c r="F13" s="4" t="s">
        <v>43</v>
      </c>
      <c r="G13" s="82" t="s">
        <v>53</v>
      </c>
      <c r="H13" s="87">
        <v>0.5</v>
      </c>
      <c r="I13" s="89" t="s">
        <v>34</v>
      </c>
      <c r="J13" s="5"/>
      <c r="K13" s="20" t="s">
        <v>112</v>
      </c>
      <c r="L13" s="20" t="s">
        <v>131</v>
      </c>
      <c r="M13" s="20" t="s">
        <v>112</v>
      </c>
      <c r="N13" s="20" t="s">
        <v>131</v>
      </c>
      <c r="O13" s="20" t="s">
        <v>112</v>
      </c>
      <c r="P13" s="20" t="s">
        <v>131</v>
      </c>
      <c r="Q13" s="20" t="s">
        <v>131</v>
      </c>
      <c r="R13" s="20" t="s">
        <v>131</v>
      </c>
      <c r="S13" s="66">
        <v>1179.37295441474</v>
      </c>
      <c r="T13" s="66">
        <v>713.65860713832092</v>
      </c>
      <c r="U13" s="20" t="s">
        <v>131</v>
      </c>
      <c r="V13" s="20" t="s">
        <v>112</v>
      </c>
      <c r="W13" s="20" t="s">
        <v>281</v>
      </c>
      <c r="X13" s="20">
        <v>3</v>
      </c>
      <c r="Y13" s="20">
        <v>4</v>
      </c>
      <c r="Z13" s="20">
        <v>3</v>
      </c>
      <c r="AA13" s="20" t="s">
        <v>131</v>
      </c>
      <c r="AB13" s="20" t="s">
        <v>131</v>
      </c>
      <c r="AC13" s="20" t="s">
        <v>112</v>
      </c>
      <c r="AD13" s="20" t="s">
        <v>112</v>
      </c>
      <c r="AE13" s="20" t="s">
        <v>131</v>
      </c>
      <c r="AF13" s="20" t="s">
        <v>113</v>
      </c>
      <c r="AG13" s="20" t="s">
        <v>112</v>
      </c>
    </row>
    <row r="14" spans="1:33" ht="14.45" customHeight="1" x14ac:dyDescent="0.25">
      <c r="A14" s="4">
        <v>3</v>
      </c>
      <c r="B14" s="95">
        <v>7</v>
      </c>
      <c r="C14" s="2" t="s">
        <v>29</v>
      </c>
      <c r="D14" s="84" t="s">
        <v>24</v>
      </c>
      <c r="E14" s="82" t="s">
        <v>38</v>
      </c>
      <c r="F14" s="1" t="s">
        <v>39</v>
      </c>
      <c r="G14" s="82" t="s">
        <v>40</v>
      </c>
      <c r="H14" s="87">
        <f>22.5+116.2</f>
        <v>138.69999999999999</v>
      </c>
      <c r="I14" s="88" t="s">
        <v>41</v>
      </c>
      <c r="J14" s="1" t="s">
        <v>42</v>
      </c>
      <c r="K14" s="11" t="s">
        <v>111</v>
      </c>
      <c r="L14" s="11" t="s">
        <v>163</v>
      </c>
      <c r="M14" s="11" t="s">
        <v>113</v>
      </c>
      <c r="N14" s="11">
        <v>5</v>
      </c>
      <c r="O14" s="11" t="s">
        <v>112</v>
      </c>
      <c r="P14" s="11" t="s">
        <v>131</v>
      </c>
      <c r="Q14" s="11" t="s">
        <v>113</v>
      </c>
      <c r="R14" s="11" t="s">
        <v>129</v>
      </c>
      <c r="S14" s="65">
        <v>94558.355622085597</v>
      </c>
      <c r="T14" s="65">
        <v>84024.517176229172</v>
      </c>
      <c r="U14" s="11" t="s">
        <v>131</v>
      </c>
      <c r="V14" s="11" t="s">
        <v>112</v>
      </c>
      <c r="W14" s="11" t="s">
        <v>282</v>
      </c>
      <c r="X14" s="11">
        <v>2</v>
      </c>
      <c r="Y14" s="11">
        <v>1</v>
      </c>
      <c r="Z14" s="11">
        <v>4</v>
      </c>
      <c r="AA14" s="11" t="s">
        <v>113</v>
      </c>
      <c r="AB14" s="11" t="s">
        <v>240</v>
      </c>
      <c r="AC14" s="11" t="s">
        <v>131</v>
      </c>
      <c r="AD14" s="11" t="s">
        <v>131</v>
      </c>
      <c r="AE14" s="11" t="s">
        <v>131</v>
      </c>
      <c r="AF14" s="11" t="s">
        <v>131</v>
      </c>
      <c r="AG14" s="11" t="s">
        <v>131</v>
      </c>
    </row>
    <row r="15" spans="1:33" ht="14.45" customHeight="1" x14ac:dyDescent="0.25">
      <c r="A15" s="4">
        <v>5</v>
      </c>
      <c r="B15" s="95">
        <v>8</v>
      </c>
      <c r="C15" s="2" t="s">
        <v>29</v>
      </c>
      <c r="D15" s="84" t="s">
        <v>25</v>
      </c>
      <c r="E15" s="82" t="s">
        <v>38</v>
      </c>
      <c r="F15" s="1" t="s">
        <v>39</v>
      </c>
      <c r="G15" s="82" t="s">
        <v>45</v>
      </c>
      <c r="H15" s="87">
        <f>13.8+71.5</f>
        <v>85.3</v>
      </c>
      <c r="I15" s="88" t="s">
        <v>41</v>
      </c>
      <c r="J15" s="1" t="s">
        <v>46</v>
      </c>
      <c r="K15" s="11" t="s">
        <v>111</v>
      </c>
      <c r="L15" s="11" t="s">
        <v>163</v>
      </c>
      <c r="M15" s="11" t="s">
        <v>111</v>
      </c>
      <c r="N15" s="11">
        <v>8</v>
      </c>
      <c r="O15" s="11" t="s">
        <v>112</v>
      </c>
      <c r="P15" s="11" t="s">
        <v>131</v>
      </c>
      <c r="Q15" s="11" t="s">
        <v>113</v>
      </c>
      <c r="R15" s="11" t="s">
        <v>129</v>
      </c>
      <c r="S15" s="65">
        <v>99872.061928262599</v>
      </c>
      <c r="T15" s="65">
        <v>86757.946122702589</v>
      </c>
      <c r="U15" s="11" t="s">
        <v>131</v>
      </c>
      <c r="V15" s="11" t="s">
        <v>112</v>
      </c>
      <c r="W15" s="11" t="s">
        <v>282</v>
      </c>
      <c r="X15" s="11">
        <v>2</v>
      </c>
      <c r="Y15" s="11">
        <v>1</v>
      </c>
      <c r="Z15" s="11">
        <v>4</v>
      </c>
      <c r="AA15" s="11" t="s">
        <v>113</v>
      </c>
      <c r="AB15" s="11" t="s">
        <v>240</v>
      </c>
      <c r="AC15" s="11" t="s">
        <v>131</v>
      </c>
      <c r="AD15" s="11" t="s">
        <v>131</v>
      </c>
      <c r="AE15" s="11" t="s">
        <v>131</v>
      </c>
      <c r="AF15" s="11" t="s">
        <v>131</v>
      </c>
      <c r="AG15" s="11" t="s">
        <v>131</v>
      </c>
    </row>
    <row r="16" spans="1:33" ht="14.45" customHeight="1" x14ac:dyDescent="0.25">
      <c r="A16" s="14" t="s">
        <v>92</v>
      </c>
      <c r="B16" s="95" t="s">
        <v>92</v>
      </c>
      <c r="C16" s="2" t="s">
        <v>30</v>
      </c>
      <c r="D16" s="82" t="s">
        <v>114</v>
      </c>
      <c r="E16" s="82" t="s">
        <v>115</v>
      </c>
      <c r="F16" s="4" t="s">
        <v>94</v>
      </c>
      <c r="G16" s="82" t="s">
        <v>104</v>
      </c>
      <c r="H16" s="90">
        <f>2.9+3.1</f>
        <v>6</v>
      </c>
      <c r="I16" s="89" t="s">
        <v>41</v>
      </c>
      <c r="K16" s="11" t="s">
        <v>113</v>
      </c>
      <c r="L16" s="11" t="s">
        <v>165</v>
      </c>
      <c r="M16" s="11" t="s">
        <v>113</v>
      </c>
      <c r="N16" s="11" t="s">
        <v>131</v>
      </c>
      <c r="O16" s="11" t="s">
        <v>113</v>
      </c>
      <c r="P16" s="11">
        <v>2010</v>
      </c>
      <c r="Q16" s="11" t="s">
        <v>131</v>
      </c>
      <c r="R16" s="11" t="s">
        <v>131</v>
      </c>
      <c r="S16" s="13" t="s">
        <v>92</v>
      </c>
      <c r="T16" s="13" t="s">
        <v>92</v>
      </c>
      <c r="U16" s="11" t="s">
        <v>92</v>
      </c>
      <c r="V16" s="11" t="s">
        <v>92</v>
      </c>
      <c r="W16" s="11" t="s">
        <v>279</v>
      </c>
      <c r="X16" s="11">
        <v>4</v>
      </c>
      <c r="Y16" s="11">
        <v>3</v>
      </c>
      <c r="Z16" s="11">
        <v>5</v>
      </c>
      <c r="AA16" s="11" t="s">
        <v>131</v>
      </c>
      <c r="AB16" s="11" t="s">
        <v>131</v>
      </c>
      <c r="AC16" s="11" t="s">
        <v>112</v>
      </c>
      <c r="AD16" s="11" t="s">
        <v>112</v>
      </c>
      <c r="AE16" s="11" t="s">
        <v>131</v>
      </c>
      <c r="AF16" s="11" t="s">
        <v>113</v>
      </c>
      <c r="AG16" s="11" t="s">
        <v>112</v>
      </c>
    </row>
    <row r="17" spans="1:33" ht="14.45" customHeight="1" x14ac:dyDescent="0.25">
      <c r="A17" s="14" t="s">
        <v>92</v>
      </c>
      <c r="B17" s="95" t="s">
        <v>92</v>
      </c>
      <c r="C17" s="2" t="s">
        <v>30</v>
      </c>
      <c r="D17" s="82" t="s">
        <v>114</v>
      </c>
      <c r="E17" s="82" t="s">
        <v>115</v>
      </c>
      <c r="F17" s="4" t="s">
        <v>94</v>
      </c>
      <c r="G17" s="82" t="s">
        <v>106</v>
      </c>
      <c r="H17" s="90">
        <f>2.9+3.1</f>
        <v>6</v>
      </c>
      <c r="I17" s="89" t="s">
        <v>41</v>
      </c>
      <c r="K17" s="11" t="s">
        <v>113</v>
      </c>
      <c r="L17" s="11" t="s">
        <v>165</v>
      </c>
      <c r="M17" s="11" t="s">
        <v>113</v>
      </c>
      <c r="N17" s="11" t="s">
        <v>131</v>
      </c>
      <c r="O17" s="11" t="s">
        <v>113</v>
      </c>
      <c r="P17" s="11">
        <v>2010</v>
      </c>
      <c r="Q17" s="11" t="s">
        <v>131</v>
      </c>
      <c r="R17" s="11" t="s">
        <v>131</v>
      </c>
      <c r="S17" s="13" t="s">
        <v>92</v>
      </c>
      <c r="T17" s="13" t="s">
        <v>92</v>
      </c>
      <c r="U17" s="11" t="s">
        <v>92</v>
      </c>
      <c r="V17" s="11" t="s">
        <v>92</v>
      </c>
      <c r="W17" s="11" t="s">
        <v>279</v>
      </c>
      <c r="X17" s="11">
        <v>4</v>
      </c>
      <c r="Y17" s="11">
        <v>3</v>
      </c>
      <c r="Z17" s="11">
        <v>5</v>
      </c>
      <c r="AA17" s="11" t="s">
        <v>131</v>
      </c>
      <c r="AB17" s="11" t="s">
        <v>131</v>
      </c>
      <c r="AC17" s="11" t="s">
        <v>112</v>
      </c>
      <c r="AD17" s="11" t="s">
        <v>112</v>
      </c>
      <c r="AE17" s="11" t="s">
        <v>131</v>
      </c>
      <c r="AF17" s="11" t="s">
        <v>113</v>
      </c>
      <c r="AG17" s="11" t="s">
        <v>112</v>
      </c>
    </row>
    <row r="18" spans="1:33" ht="14.45" customHeight="1" x14ac:dyDescent="0.25">
      <c r="A18" s="14" t="s">
        <v>92</v>
      </c>
      <c r="B18" s="95" t="s">
        <v>92</v>
      </c>
      <c r="C18" s="2" t="s">
        <v>30</v>
      </c>
      <c r="D18" s="82" t="s">
        <v>114</v>
      </c>
      <c r="E18" s="82" t="s">
        <v>115</v>
      </c>
      <c r="F18" s="4" t="s">
        <v>94</v>
      </c>
      <c r="G18" s="82" t="s">
        <v>105</v>
      </c>
      <c r="H18" s="90">
        <f>2.9+3.1</f>
        <v>6</v>
      </c>
      <c r="I18" s="89" t="s">
        <v>41</v>
      </c>
      <c r="K18" s="11" t="s">
        <v>113</v>
      </c>
      <c r="L18" s="11" t="s">
        <v>165</v>
      </c>
      <c r="M18" s="11" t="s">
        <v>113</v>
      </c>
      <c r="N18" s="11" t="s">
        <v>131</v>
      </c>
      <c r="O18" s="11" t="s">
        <v>113</v>
      </c>
      <c r="P18" s="11">
        <v>2010</v>
      </c>
      <c r="Q18" s="11" t="s">
        <v>131</v>
      </c>
      <c r="R18" s="11" t="s">
        <v>131</v>
      </c>
      <c r="S18" s="13" t="s">
        <v>92</v>
      </c>
      <c r="T18" s="13" t="s">
        <v>92</v>
      </c>
      <c r="U18" s="11" t="s">
        <v>92</v>
      </c>
      <c r="V18" s="11" t="s">
        <v>92</v>
      </c>
      <c r="W18" s="11" t="s">
        <v>279</v>
      </c>
      <c r="X18" s="11">
        <v>4</v>
      </c>
      <c r="Y18" s="11">
        <v>3</v>
      </c>
      <c r="Z18" s="11">
        <v>5</v>
      </c>
      <c r="AA18" s="11" t="s">
        <v>131</v>
      </c>
      <c r="AB18" s="11" t="s">
        <v>131</v>
      </c>
      <c r="AC18" s="11" t="s">
        <v>112</v>
      </c>
      <c r="AD18" s="11" t="s">
        <v>112</v>
      </c>
      <c r="AE18" s="11" t="s">
        <v>131</v>
      </c>
      <c r="AF18" s="11" t="s">
        <v>113</v>
      </c>
      <c r="AG18" s="11" t="s">
        <v>112</v>
      </c>
    </row>
    <row r="19" spans="1:33" ht="14.45" customHeight="1" x14ac:dyDescent="0.25">
      <c r="A19" s="14" t="s">
        <v>92</v>
      </c>
      <c r="B19" s="95" t="s">
        <v>92</v>
      </c>
      <c r="C19" s="2" t="s">
        <v>30</v>
      </c>
      <c r="D19" s="82" t="s">
        <v>114</v>
      </c>
      <c r="E19" s="82" t="s">
        <v>115</v>
      </c>
      <c r="F19" s="4" t="s">
        <v>94</v>
      </c>
      <c r="G19" s="82" t="s">
        <v>95</v>
      </c>
      <c r="H19" s="90">
        <f>2.9+3.1</f>
        <v>6</v>
      </c>
      <c r="I19" s="89" t="s">
        <v>41</v>
      </c>
      <c r="K19" s="11" t="s">
        <v>113</v>
      </c>
      <c r="L19" s="11" t="s">
        <v>165</v>
      </c>
      <c r="M19" s="11" t="s">
        <v>113</v>
      </c>
      <c r="N19" s="11" t="s">
        <v>131</v>
      </c>
      <c r="O19" s="11" t="s">
        <v>113</v>
      </c>
      <c r="P19" s="11">
        <v>2010</v>
      </c>
      <c r="Q19" s="11" t="s">
        <v>131</v>
      </c>
      <c r="R19" s="11" t="s">
        <v>131</v>
      </c>
      <c r="S19" s="13" t="s">
        <v>92</v>
      </c>
      <c r="T19" s="13" t="s">
        <v>92</v>
      </c>
      <c r="U19" s="11" t="s">
        <v>92</v>
      </c>
      <c r="V19" s="11" t="s">
        <v>92</v>
      </c>
      <c r="W19" s="11" t="s">
        <v>279</v>
      </c>
      <c r="X19" s="11">
        <v>4</v>
      </c>
      <c r="Y19" s="11">
        <v>3</v>
      </c>
      <c r="Z19" s="11">
        <v>5</v>
      </c>
      <c r="AA19" s="11" t="s">
        <v>131</v>
      </c>
      <c r="AB19" s="11" t="s">
        <v>131</v>
      </c>
      <c r="AC19" s="11" t="s">
        <v>112</v>
      </c>
      <c r="AD19" s="11" t="s">
        <v>112</v>
      </c>
      <c r="AE19" s="11" t="s">
        <v>131</v>
      </c>
      <c r="AF19" s="11" t="s">
        <v>113</v>
      </c>
      <c r="AG19" s="11" t="s">
        <v>112</v>
      </c>
    </row>
    <row r="20" spans="1:33" ht="14.45" customHeight="1" x14ac:dyDescent="0.25">
      <c r="A20" s="7">
        <v>8</v>
      </c>
      <c r="B20" s="95">
        <v>9</v>
      </c>
      <c r="C20" s="4" t="s">
        <v>29</v>
      </c>
      <c r="D20" s="82" t="s">
        <v>51</v>
      </c>
      <c r="E20" s="82" t="s">
        <v>38</v>
      </c>
      <c r="F20" s="5" t="s">
        <v>39</v>
      </c>
      <c r="G20" s="82" t="s">
        <v>52</v>
      </c>
      <c r="H20" s="87">
        <f>0.9+4.9</f>
        <v>5.8000000000000007</v>
      </c>
      <c r="I20" s="89" t="s">
        <v>41</v>
      </c>
      <c r="J20" s="1"/>
      <c r="K20" s="20" t="s">
        <v>111</v>
      </c>
      <c r="L20" s="20" t="s">
        <v>166</v>
      </c>
      <c r="M20" s="20" t="s">
        <v>111</v>
      </c>
      <c r="N20" s="20">
        <v>15</v>
      </c>
      <c r="O20" s="20" t="s">
        <v>112</v>
      </c>
      <c r="P20" s="20" t="s">
        <v>131</v>
      </c>
      <c r="Q20" s="20" t="s">
        <v>113</v>
      </c>
      <c r="R20" s="20" t="s">
        <v>129</v>
      </c>
      <c r="S20" s="66">
        <v>65604.148601646797</v>
      </c>
      <c r="T20" s="66">
        <v>55002.834621808041</v>
      </c>
      <c r="U20" s="20" t="s">
        <v>131</v>
      </c>
      <c r="V20" s="20" t="s">
        <v>112</v>
      </c>
      <c r="W20" s="20" t="s">
        <v>282</v>
      </c>
      <c r="X20" s="20">
        <v>2</v>
      </c>
      <c r="Y20" s="20">
        <v>1</v>
      </c>
      <c r="Z20" s="20">
        <v>4</v>
      </c>
      <c r="AA20" s="20" t="s">
        <v>112</v>
      </c>
      <c r="AB20" s="20" t="s">
        <v>131</v>
      </c>
      <c r="AC20" s="20" t="s">
        <v>131</v>
      </c>
      <c r="AD20" s="20" t="s">
        <v>131</v>
      </c>
      <c r="AE20" s="20" t="s">
        <v>131</v>
      </c>
      <c r="AF20" s="20" t="s">
        <v>131</v>
      </c>
      <c r="AG20" s="20" t="s">
        <v>131</v>
      </c>
    </row>
    <row r="21" spans="1:33" s="14" customFormat="1" ht="13.5" hidden="1" customHeight="1" x14ac:dyDescent="0.25">
      <c r="A21" s="14" t="s">
        <v>92</v>
      </c>
      <c r="B21" s="4" t="s">
        <v>92</v>
      </c>
      <c r="C21" s="14" t="s">
        <v>131</v>
      </c>
      <c r="D21" s="14" t="s">
        <v>269</v>
      </c>
      <c r="E21" s="14" t="s">
        <v>270</v>
      </c>
      <c r="F21" s="14" t="s">
        <v>273</v>
      </c>
      <c r="G21" s="14" t="s">
        <v>268</v>
      </c>
      <c r="H21" s="6">
        <v>190.6</v>
      </c>
      <c r="I21" s="14" t="s">
        <v>118</v>
      </c>
      <c r="J21" s="1"/>
      <c r="K21" s="64" t="s">
        <v>131</v>
      </c>
      <c r="L21" s="64" t="s">
        <v>131</v>
      </c>
      <c r="M21" s="64" t="s">
        <v>131</v>
      </c>
      <c r="N21" s="64" t="s">
        <v>131</v>
      </c>
      <c r="O21" s="11" t="s">
        <v>131</v>
      </c>
      <c r="P21" s="11" t="s">
        <v>131</v>
      </c>
      <c r="Q21" s="64" t="s">
        <v>131</v>
      </c>
      <c r="R21" s="64" t="s">
        <v>131</v>
      </c>
      <c r="S21" s="67" t="s">
        <v>92</v>
      </c>
      <c r="T21" s="67" t="s">
        <v>92</v>
      </c>
      <c r="U21" s="64" t="s">
        <v>92</v>
      </c>
      <c r="V21" s="11" t="s">
        <v>92</v>
      </c>
      <c r="W21" s="11" t="s">
        <v>278</v>
      </c>
      <c r="X21" s="11">
        <v>5</v>
      </c>
      <c r="Y21" s="11">
        <v>5</v>
      </c>
      <c r="Z21" s="11">
        <v>1</v>
      </c>
      <c r="AA21" s="11" t="s">
        <v>131</v>
      </c>
      <c r="AB21" s="11" t="s">
        <v>131</v>
      </c>
      <c r="AC21" s="11" t="s">
        <v>131</v>
      </c>
      <c r="AD21" s="11" t="s">
        <v>131</v>
      </c>
      <c r="AE21" s="11" t="s">
        <v>131</v>
      </c>
      <c r="AF21" s="11" t="s">
        <v>131</v>
      </c>
      <c r="AG21" s="11" t="s">
        <v>131</v>
      </c>
    </row>
    <row r="22" spans="1:33" s="14" customFormat="1" ht="13.5" hidden="1" customHeight="1" x14ac:dyDescent="0.25">
      <c r="A22" s="14" t="s">
        <v>92</v>
      </c>
      <c r="B22" s="4" t="s">
        <v>92</v>
      </c>
      <c r="C22" s="14" t="s">
        <v>131</v>
      </c>
      <c r="D22" s="14" t="s">
        <v>269</v>
      </c>
      <c r="E22" s="14" t="s">
        <v>271</v>
      </c>
      <c r="F22" s="14" t="s">
        <v>273</v>
      </c>
      <c r="G22" s="14" t="s">
        <v>268</v>
      </c>
      <c r="H22" s="6">
        <v>190.5</v>
      </c>
      <c r="I22" s="14" t="s">
        <v>118</v>
      </c>
      <c r="J22" s="1"/>
      <c r="K22" s="64" t="s">
        <v>131</v>
      </c>
      <c r="L22" s="64" t="s">
        <v>131</v>
      </c>
      <c r="M22" s="64" t="s">
        <v>131</v>
      </c>
      <c r="N22" s="64" t="s">
        <v>131</v>
      </c>
      <c r="O22" s="11" t="s">
        <v>131</v>
      </c>
      <c r="P22" s="11" t="s">
        <v>131</v>
      </c>
      <c r="Q22" s="64" t="s">
        <v>131</v>
      </c>
      <c r="R22" s="64" t="s">
        <v>131</v>
      </c>
      <c r="S22" s="67" t="s">
        <v>92</v>
      </c>
      <c r="T22" s="67" t="s">
        <v>92</v>
      </c>
      <c r="U22" s="64" t="s">
        <v>92</v>
      </c>
      <c r="V22" s="11" t="s">
        <v>92</v>
      </c>
      <c r="W22" s="11" t="s">
        <v>280</v>
      </c>
      <c r="X22" s="11">
        <v>1</v>
      </c>
      <c r="Y22" s="11">
        <v>2</v>
      </c>
      <c r="Z22" s="11">
        <v>2</v>
      </c>
      <c r="AA22" s="11" t="s">
        <v>131</v>
      </c>
      <c r="AB22" s="11" t="s">
        <v>131</v>
      </c>
      <c r="AC22" s="11" t="s">
        <v>131</v>
      </c>
      <c r="AD22" s="11" t="s">
        <v>131</v>
      </c>
      <c r="AE22" s="11" t="s">
        <v>131</v>
      </c>
      <c r="AF22" s="11" t="s">
        <v>131</v>
      </c>
      <c r="AG22" s="11" t="s">
        <v>131</v>
      </c>
    </row>
    <row r="23" spans="1:33" s="14" customFormat="1" ht="13.5" hidden="1" customHeight="1" x14ac:dyDescent="0.25">
      <c r="A23" s="14" t="s">
        <v>92</v>
      </c>
      <c r="B23" s="4" t="s">
        <v>92</v>
      </c>
      <c r="C23" s="14" t="s">
        <v>131</v>
      </c>
      <c r="D23" s="14" t="s">
        <v>269</v>
      </c>
      <c r="E23" s="14" t="s">
        <v>272</v>
      </c>
      <c r="F23" s="14" t="s">
        <v>273</v>
      </c>
      <c r="G23" s="14" t="s">
        <v>268</v>
      </c>
      <c r="H23" s="6">
        <v>190.5</v>
      </c>
      <c r="I23" s="14" t="s">
        <v>118</v>
      </c>
      <c r="J23" s="1"/>
      <c r="K23" s="64" t="s">
        <v>131</v>
      </c>
      <c r="L23" s="64" t="s">
        <v>131</v>
      </c>
      <c r="M23" s="64" t="s">
        <v>131</v>
      </c>
      <c r="N23" s="64" t="s">
        <v>131</v>
      </c>
      <c r="O23" s="11" t="s">
        <v>131</v>
      </c>
      <c r="P23" s="11" t="s">
        <v>131</v>
      </c>
      <c r="Q23" s="64" t="s">
        <v>131</v>
      </c>
      <c r="R23" s="64" t="s">
        <v>131</v>
      </c>
      <c r="S23" s="67" t="s">
        <v>92</v>
      </c>
      <c r="T23" s="67" t="s">
        <v>92</v>
      </c>
      <c r="U23" s="64" t="s">
        <v>92</v>
      </c>
      <c r="V23" s="11" t="s">
        <v>92</v>
      </c>
      <c r="W23" s="11" t="s">
        <v>281</v>
      </c>
      <c r="X23" s="11">
        <v>3</v>
      </c>
      <c r="Y23" s="11">
        <v>4</v>
      </c>
      <c r="Z23" s="11">
        <v>3</v>
      </c>
      <c r="AA23" s="11" t="s">
        <v>131</v>
      </c>
      <c r="AB23" s="11" t="s">
        <v>131</v>
      </c>
      <c r="AC23" s="11" t="s">
        <v>131</v>
      </c>
      <c r="AD23" s="11" t="s">
        <v>131</v>
      </c>
      <c r="AE23" s="11" t="s">
        <v>131</v>
      </c>
      <c r="AF23" s="11" t="s">
        <v>131</v>
      </c>
      <c r="AG23" s="11" t="s">
        <v>131</v>
      </c>
    </row>
    <row r="24" spans="1:33" ht="14.45" customHeight="1" x14ac:dyDescent="0.25">
      <c r="A24" s="14" t="s">
        <v>92</v>
      </c>
      <c r="B24" s="95" t="s">
        <v>92</v>
      </c>
      <c r="C24" s="2" t="s">
        <v>30</v>
      </c>
      <c r="D24" s="82" t="s">
        <v>116</v>
      </c>
      <c r="E24" s="82" t="s">
        <v>117</v>
      </c>
      <c r="F24" s="4" t="s">
        <v>94</v>
      </c>
      <c r="G24" s="82" t="s">
        <v>104</v>
      </c>
      <c r="H24" s="90">
        <f>2.9+3.1+6.7+14.7</f>
        <v>27.4</v>
      </c>
      <c r="I24" s="89" t="s">
        <v>118</v>
      </c>
      <c r="K24" s="11" t="s">
        <v>113</v>
      </c>
      <c r="L24" s="11" t="s">
        <v>165</v>
      </c>
      <c r="M24" s="11" t="s">
        <v>113</v>
      </c>
      <c r="N24" s="11" t="s">
        <v>131</v>
      </c>
      <c r="O24" s="11" t="s">
        <v>113</v>
      </c>
      <c r="P24" s="11">
        <v>2010</v>
      </c>
      <c r="Q24" s="11" t="s">
        <v>131</v>
      </c>
      <c r="R24" s="11" t="s">
        <v>131</v>
      </c>
      <c r="S24" s="13" t="s">
        <v>92</v>
      </c>
      <c r="T24" s="13" t="s">
        <v>92</v>
      </c>
      <c r="U24" s="11" t="s">
        <v>92</v>
      </c>
      <c r="V24" s="11" t="s">
        <v>92</v>
      </c>
      <c r="W24" s="11" t="s">
        <v>279</v>
      </c>
      <c r="X24" s="11">
        <v>4</v>
      </c>
      <c r="Y24" s="11">
        <v>3</v>
      </c>
      <c r="Z24" s="11">
        <v>5</v>
      </c>
      <c r="AA24" s="11" t="s">
        <v>131</v>
      </c>
      <c r="AB24" s="11" t="s">
        <v>131</v>
      </c>
      <c r="AC24" s="11" t="s">
        <v>112</v>
      </c>
      <c r="AD24" s="11" t="s">
        <v>112</v>
      </c>
      <c r="AE24" s="11" t="s">
        <v>131</v>
      </c>
      <c r="AF24" s="11" t="s">
        <v>113</v>
      </c>
      <c r="AG24" s="11" t="s">
        <v>112</v>
      </c>
    </row>
    <row r="25" spans="1:33" ht="14.45" customHeight="1" x14ac:dyDescent="0.25">
      <c r="A25" s="14" t="s">
        <v>92</v>
      </c>
      <c r="B25" s="95" t="s">
        <v>92</v>
      </c>
      <c r="C25" s="2" t="s">
        <v>30</v>
      </c>
      <c r="D25" s="82" t="s">
        <v>116</v>
      </c>
      <c r="E25" s="82" t="s">
        <v>117</v>
      </c>
      <c r="F25" s="4" t="s">
        <v>94</v>
      </c>
      <c r="G25" s="82" t="s">
        <v>106</v>
      </c>
      <c r="H25" s="90">
        <f>2.9+3.1+6.7+14.7</f>
        <v>27.4</v>
      </c>
      <c r="I25" s="89" t="s">
        <v>118</v>
      </c>
      <c r="K25" s="11" t="s">
        <v>113</v>
      </c>
      <c r="L25" s="11" t="s">
        <v>165</v>
      </c>
      <c r="M25" s="11" t="s">
        <v>113</v>
      </c>
      <c r="N25" s="11" t="s">
        <v>131</v>
      </c>
      <c r="O25" s="11" t="s">
        <v>113</v>
      </c>
      <c r="P25" s="11">
        <v>2010</v>
      </c>
      <c r="Q25" s="11" t="s">
        <v>131</v>
      </c>
      <c r="R25" s="11" t="s">
        <v>131</v>
      </c>
      <c r="S25" s="13" t="s">
        <v>92</v>
      </c>
      <c r="T25" s="13" t="s">
        <v>92</v>
      </c>
      <c r="U25" s="11" t="s">
        <v>92</v>
      </c>
      <c r="V25" s="11" t="s">
        <v>92</v>
      </c>
      <c r="W25" s="11" t="s">
        <v>279</v>
      </c>
      <c r="X25" s="11">
        <v>4</v>
      </c>
      <c r="Y25" s="11">
        <v>3</v>
      </c>
      <c r="Z25" s="11">
        <v>5</v>
      </c>
      <c r="AA25" s="11" t="s">
        <v>131</v>
      </c>
      <c r="AB25" s="11" t="s">
        <v>131</v>
      </c>
      <c r="AC25" s="11" t="s">
        <v>112</v>
      </c>
      <c r="AD25" s="11" t="s">
        <v>112</v>
      </c>
      <c r="AE25" s="11" t="s">
        <v>131</v>
      </c>
      <c r="AF25" s="11" t="s">
        <v>113</v>
      </c>
      <c r="AG25" s="11" t="s">
        <v>112</v>
      </c>
    </row>
    <row r="26" spans="1:33" ht="14.45" customHeight="1" x14ac:dyDescent="0.25">
      <c r="A26" s="14" t="s">
        <v>92</v>
      </c>
      <c r="B26" s="95" t="s">
        <v>92</v>
      </c>
      <c r="C26" s="2" t="s">
        <v>30</v>
      </c>
      <c r="D26" s="82" t="s">
        <v>116</v>
      </c>
      <c r="E26" s="82" t="s">
        <v>117</v>
      </c>
      <c r="F26" s="4" t="s">
        <v>94</v>
      </c>
      <c r="G26" s="82" t="s">
        <v>105</v>
      </c>
      <c r="H26" s="90">
        <f>2.9+3.1+6.7+14.7</f>
        <v>27.4</v>
      </c>
      <c r="I26" s="89" t="s">
        <v>118</v>
      </c>
      <c r="K26" s="11" t="s">
        <v>113</v>
      </c>
      <c r="L26" s="11" t="s">
        <v>165</v>
      </c>
      <c r="M26" s="11" t="s">
        <v>113</v>
      </c>
      <c r="N26" s="11" t="s">
        <v>131</v>
      </c>
      <c r="O26" s="11" t="s">
        <v>113</v>
      </c>
      <c r="P26" s="11">
        <v>2010</v>
      </c>
      <c r="Q26" s="11" t="s">
        <v>131</v>
      </c>
      <c r="R26" s="11" t="s">
        <v>131</v>
      </c>
      <c r="S26" s="13" t="s">
        <v>92</v>
      </c>
      <c r="T26" s="13" t="s">
        <v>92</v>
      </c>
      <c r="U26" s="11" t="s">
        <v>92</v>
      </c>
      <c r="V26" s="11" t="s">
        <v>92</v>
      </c>
      <c r="W26" s="11" t="s">
        <v>279</v>
      </c>
      <c r="X26" s="11">
        <v>4</v>
      </c>
      <c r="Y26" s="11">
        <v>3</v>
      </c>
      <c r="Z26" s="11">
        <v>5</v>
      </c>
      <c r="AA26" s="11" t="s">
        <v>131</v>
      </c>
      <c r="AB26" s="11" t="s">
        <v>131</v>
      </c>
      <c r="AC26" s="11" t="s">
        <v>112</v>
      </c>
      <c r="AD26" s="11" t="s">
        <v>112</v>
      </c>
      <c r="AE26" s="11" t="s">
        <v>131</v>
      </c>
      <c r="AF26" s="11" t="s">
        <v>113</v>
      </c>
      <c r="AG26" s="11" t="s">
        <v>112</v>
      </c>
    </row>
    <row r="27" spans="1:33" ht="14.45" customHeight="1" x14ac:dyDescent="0.25">
      <c r="A27" s="14" t="s">
        <v>92</v>
      </c>
      <c r="B27" s="95" t="s">
        <v>92</v>
      </c>
      <c r="C27" s="2" t="s">
        <v>30</v>
      </c>
      <c r="D27" s="82" t="s">
        <v>116</v>
      </c>
      <c r="E27" s="82" t="s">
        <v>117</v>
      </c>
      <c r="F27" s="4" t="s">
        <v>94</v>
      </c>
      <c r="G27" s="82" t="s">
        <v>95</v>
      </c>
      <c r="H27" s="90">
        <f>2.9+3.1+6.7+14.7</f>
        <v>27.4</v>
      </c>
      <c r="I27" s="89" t="s">
        <v>118</v>
      </c>
      <c r="K27" s="11" t="s">
        <v>113</v>
      </c>
      <c r="L27" s="11" t="s">
        <v>165</v>
      </c>
      <c r="M27" s="11" t="s">
        <v>113</v>
      </c>
      <c r="N27" s="11" t="s">
        <v>131</v>
      </c>
      <c r="O27" s="11" t="s">
        <v>113</v>
      </c>
      <c r="P27" s="11">
        <v>2010</v>
      </c>
      <c r="Q27" s="11" t="s">
        <v>131</v>
      </c>
      <c r="R27" s="11" t="s">
        <v>131</v>
      </c>
      <c r="S27" s="13" t="s">
        <v>92</v>
      </c>
      <c r="T27" s="13" t="s">
        <v>92</v>
      </c>
      <c r="U27" s="11" t="s">
        <v>92</v>
      </c>
      <c r="V27" s="11" t="s">
        <v>92</v>
      </c>
      <c r="W27" s="11" t="s">
        <v>279</v>
      </c>
      <c r="X27" s="11">
        <v>4</v>
      </c>
      <c r="Y27" s="11">
        <v>3</v>
      </c>
      <c r="Z27" s="11">
        <v>5</v>
      </c>
      <c r="AA27" s="11" t="s">
        <v>131</v>
      </c>
      <c r="AB27" s="11" t="s">
        <v>131</v>
      </c>
      <c r="AC27" s="11" t="s">
        <v>112</v>
      </c>
      <c r="AD27" s="11" t="s">
        <v>112</v>
      </c>
      <c r="AE27" s="11" t="s">
        <v>131</v>
      </c>
      <c r="AF27" s="11" t="s">
        <v>113</v>
      </c>
      <c r="AG27" s="11" t="s">
        <v>112</v>
      </c>
    </row>
    <row r="28" spans="1:33" ht="14.45" customHeight="1" x14ac:dyDescent="0.25">
      <c r="A28" s="71" t="s">
        <v>131</v>
      </c>
      <c r="B28" s="96">
        <v>10</v>
      </c>
      <c r="C28" s="73" t="s">
        <v>30</v>
      </c>
      <c r="D28" s="84" t="s">
        <v>297</v>
      </c>
      <c r="E28" s="84" t="s">
        <v>8</v>
      </c>
      <c r="F28" s="73" t="s">
        <v>37</v>
      </c>
      <c r="G28" s="84" t="s">
        <v>299</v>
      </c>
      <c r="H28" s="87">
        <v>35.700000000000003</v>
      </c>
      <c r="I28" s="89" t="s">
        <v>54</v>
      </c>
      <c r="J28" s="73"/>
      <c r="K28" s="20" t="s">
        <v>113</v>
      </c>
      <c r="L28" s="20" t="s">
        <v>301</v>
      </c>
      <c r="M28" s="20" t="s">
        <v>113</v>
      </c>
      <c r="N28" s="20">
        <v>48</v>
      </c>
      <c r="O28" s="20" t="s">
        <v>113</v>
      </c>
      <c r="P28" s="20">
        <v>2043</v>
      </c>
      <c r="Q28" s="20" t="s">
        <v>131</v>
      </c>
      <c r="R28" s="20" t="s">
        <v>131</v>
      </c>
      <c r="S28" s="74">
        <v>2227</v>
      </c>
      <c r="T28" s="74">
        <v>1291</v>
      </c>
      <c r="U28" s="20" t="s">
        <v>131</v>
      </c>
      <c r="V28" s="20" t="s">
        <v>113</v>
      </c>
      <c r="W28" s="20" t="s">
        <v>279</v>
      </c>
      <c r="X28" s="20">
        <v>4</v>
      </c>
      <c r="Y28" s="20">
        <v>3</v>
      </c>
      <c r="Z28" s="20">
        <v>5</v>
      </c>
      <c r="AA28" s="20" t="s">
        <v>131</v>
      </c>
      <c r="AB28" s="20" t="s">
        <v>131</v>
      </c>
      <c r="AC28" s="20" t="s">
        <v>112</v>
      </c>
      <c r="AD28" s="20" t="s">
        <v>113</v>
      </c>
      <c r="AE28" s="20" t="s">
        <v>209</v>
      </c>
      <c r="AF28" s="20" t="s">
        <v>113</v>
      </c>
      <c r="AG28" s="20" t="s">
        <v>113</v>
      </c>
    </row>
    <row r="29" spans="1:33" ht="14.45" customHeight="1" x14ac:dyDescent="0.25">
      <c r="A29" s="71" t="s">
        <v>131</v>
      </c>
      <c r="B29" s="96">
        <v>11</v>
      </c>
      <c r="C29" s="73" t="s">
        <v>30</v>
      </c>
      <c r="D29" s="84" t="s">
        <v>315</v>
      </c>
      <c r="E29" s="82" t="s">
        <v>181</v>
      </c>
      <c r="F29" s="4" t="s">
        <v>64</v>
      </c>
      <c r="G29" s="84" t="s">
        <v>298</v>
      </c>
      <c r="H29" s="87">
        <v>21.2</v>
      </c>
      <c r="I29" s="89" t="s">
        <v>54</v>
      </c>
      <c r="J29" s="73"/>
      <c r="K29" s="20" t="s">
        <v>113</v>
      </c>
      <c r="L29" s="20" t="s">
        <v>300</v>
      </c>
      <c r="M29" s="20" t="s">
        <v>113</v>
      </c>
      <c r="N29" s="20">
        <v>23</v>
      </c>
      <c r="O29" s="20" t="s">
        <v>112</v>
      </c>
      <c r="P29" s="20" t="s">
        <v>131</v>
      </c>
      <c r="Q29" s="20" t="s">
        <v>131</v>
      </c>
      <c r="R29" s="20" t="s">
        <v>131</v>
      </c>
      <c r="S29" s="74">
        <v>4817</v>
      </c>
      <c r="T29" s="74">
        <v>4817</v>
      </c>
      <c r="U29" s="20" t="s">
        <v>131</v>
      </c>
      <c r="V29" s="20" t="s">
        <v>113</v>
      </c>
      <c r="W29" s="20" t="s">
        <v>281</v>
      </c>
      <c r="X29" s="20">
        <v>3</v>
      </c>
      <c r="Y29" s="20">
        <v>4</v>
      </c>
      <c r="Z29" s="20">
        <v>3</v>
      </c>
      <c r="AA29" s="20" t="s">
        <v>131</v>
      </c>
      <c r="AB29" s="20" t="s">
        <v>131</v>
      </c>
      <c r="AC29" s="20" t="s">
        <v>112</v>
      </c>
      <c r="AD29" s="20" t="s">
        <v>112</v>
      </c>
      <c r="AE29" s="20" t="s">
        <v>211</v>
      </c>
      <c r="AF29" s="20" t="s">
        <v>112</v>
      </c>
      <c r="AG29" s="20" t="s">
        <v>112</v>
      </c>
    </row>
    <row r="30" spans="1:33" ht="14.45" customHeight="1" x14ac:dyDescent="0.25">
      <c r="A30" s="4">
        <v>11</v>
      </c>
      <c r="B30" s="95">
        <v>12</v>
      </c>
      <c r="C30" s="4" t="s">
        <v>30</v>
      </c>
      <c r="D30" s="82" t="s">
        <v>316</v>
      </c>
      <c r="E30" s="82" t="s">
        <v>9</v>
      </c>
      <c r="F30" s="4" t="s">
        <v>161</v>
      </c>
      <c r="G30" s="82" t="s">
        <v>56</v>
      </c>
      <c r="H30" s="87">
        <v>1.9</v>
      </c>
      <c r="I30" s="89" t="s">
        <v>54</v>
      </c>
      <c r="J30" s="5"/>
      <c r="K30" s="20" t="s">
        <v>112</v>
      </c>
      <c r="L30" s="20" t="s">
        <v>131</v>
      </c>
      <c r="M30" s="20" t="s">
        <v>112</v>
      </c>
      <c r="N30" s="20" t="s">
        <v>131</v>
      </c>
      <c r="O30" s="20" t="s">
        <v>112</v>
      </c>
      <c r="P30" s="20" t="s">
        <v>131</v>
      </c>
      <c r="Q30" s="20" t="s">
        <v>131</v>
      </c>
      <c r="R30" s="20" t="s">
        <v>131</v>
      </c>
      <c r="S30" s="66">
        <v>4900.4682979610297</v>
      </c>
      <c r="T30" s="66">
        <v>3833.8659773734503</v>
      </c>
      <c r="U30" s="20" t="s">
        <v>131</v>
      </c>
      <c r="V30" s="20" t="s">
        <v>113</v>
      </c>
      <c r="W30" s="20" t="s">
        <v>279</v>
      </c>
      <c r="X30" s="20">
        <v>4</v>
      </c>
      <c r="Y30" s="20">
        <v>3</v>
      </c>
      <c r="Z30" s="20">
        <v>5</v>
      </c>
      <c r="AA30" s="20" t="s">
        <v>131</v>
      </c>
      <c r="AB30" s="20" t="s">
        <v>131</v>
      </c>
      <c r="AC30" s="20" t="s">
        <v>112</v>
      </c>
      <c r="AD30" s="20" t="s">
        <v>112</v>
      </c>
      <c r="AE30" s="20" t="s">
        <v>210</v>
      </c>
      <c r="AF30" s="20" t="s">
        <v>113</v>
      </c>
      <c r="AG30" s="20" t="s">
        <v>112</v>
      </c>
    </row>
    <row r="31" spans="1:33" ht="14.45" customHeight="1" x14ac:dyDescent="0.25">
      <c r="A31" s="4">
        <v>12</v>
      </c>
      <c r="B31" s="95">
        <v>13</v>
      </c>
      <c r="C31" s="4" t="s">
        <v>30</v>
      </c>
      <c r="D31" s="82" t="s">
        <v>6</v>
      </c>
      <c r="E31" s="82" t="s">
        <v>7</v>
      </c>
      <c r="F31" s="5" t="s">
        <v>43</v>
      </c>
      <c r="G31" s="82" t="s">
        <v>10</v>
      </c>
      <c r="H31" s="87">
        <v>1.8</v>
      </c>
      <c r="I31" s="89" t="s">
        <v>54</v>
      </c>
      <c r="J31" s="5"/>
      <c r="K31" s="20" t="s">
        <v>113</v>
      </c>
      <c r="L31" s="20" t="s">
        <v>167</v>
      </c>
      <c r="M31" s="20" t="s">
        <v>113</v>
      </c>
      <c r="N31" s="20">
        <v>44</v>
      </c>
      <c r="O31" s="20" t="s">
        <v>113</v>
      </c>
      <c r="P31" s="20">
        <v>2097</v>
      </c>
      <c r="Q31" s="20" t="s">
        <v>131</v>
      </c>
      <c r="R31" s="20" t="s">
        <v>131</v>
      </c>
      <c r="S31" s="66">
        <v>1728</v>
      </c>
      <c r="T31" s="66">
        <v>1728</v>
      </c>
      <c r="U31" s="20" t="s">
        <v>131</v>
      </c>
      <c r="V31" s="20" t="s">
        <v>112</v>
      </c>
      <c r="W31" s="20" t="s">
        <v>281</v>
      </c>
      <c r="X31" s="20">
        <v>3</v>
      </c>
      <c r="Y31" s="20">
        <v>4</v>
      </c>
      <c r="Z31" s="20">
        <v>3</v>
      </c>
      <c r="AA31" s="20" t="s">
        <v>131</v>
      </c>
      <c r="AB31" s="20" t="s">
        <v>131</v>
      </c>
      <c r="AC31" s="20" t="s">
        <v>112</v>
      </c>
      <c r="AD31" s="20" t="s">
        <v>112</v>
      </c>
      <c r="AE31" s="20" t="s">
        <v>131</v>
      </c>
      <c r="AF31" s="20" t="s">
        <v>113</v>
      </c>
      <c r="AG31" s="20" t="s">
        <v>112</v>
      </c>
    </row>
    <row r="32" spans="1:33" ht="14.45" customHeight="1" x14ac:dyDescent="0.25">
      <c r="A32" s="7">
        <v>13</v>
      </c>
      <c r="B32" s="95">
        <v>14</v>
      </c>
      <c r="C32" s="4" t="s">
        <v>30</v>
      </c>
      <c r="D32" s="82" t="s">
        <v>6</v>
      </c>
      <c r="E32" s="82" t="s">
        <v>7</v>
      </c>
      <c r="F32" s="4" t="s">
        <v>43</v>
      </c>
      <c r="G32" s="82" t="s">
        <v>57</v>
      </c>
      <c r="H32" s="87">
        <v>1.4</v>
      </c>
      <c r="I32" s="89" t="s">
        <v>54</v>
      </c>
      <c r="J32" s="5"/>
      <c r="K32" s="20" t="s">
        <v>113</v>
      </c>
      <c r="L32" s="20" t="s">
        <v>168</v>
      </c>
      <c r="M32" s="20" t="s">
        <v>113</v>
      </c>
      <c r="N32" s="20">
        <v>45</v>
      </c>
      <c r="O32" s="20" t="s">
        <v>112</v>
      </c>
      <c r="P32" s="20" t="s">
        <v>131</v>
      </c>
      <c r="Q32" s="20" t="s">
        <v>131</v>
      </c>
      <c r="R32" s="20" t="s">
        <v>131</v>
      </c>
      <c r="S32" s="66">
        <v>842</v>
      </c>
      <c r="T32" s="66">
        <v>761</v>
      </c>
      <c r="U32" s="20" t="s">
        <v>131</v>
      </c>
      <c r="V32" s="20" t="s">
        <v>112</v>
      </c>
      <c r="W32" s="20" t="s">
        <v>281</v>
      </c>
      <c r="X32" s="20">
        <v>3</v>
      </c>
      <c r="Y32" s="20">
        <v>4</v>
      </c>
      <c r="Z32" s="20">
        <v>3</v>
      </c>
      <c r="AA32" s="20" t="s">
        <v>131</v>
      </c>
      <c r="AB32" s="20" t="s">
        <v>131</v>
      </c>
      <c r="AC32" s="20" t="s">
        <v>112</v>
      </c>
      <c r="AD32" s="20" t="s">
        <v>112</v>
      </c>
      <c r="AE32" s="20" t="s">
        <v>131</v>
      </c>
      <c r="AF32" s="20" t="s">
        <v>113</v>
      </c>
      <c r="AG32" s="20" t="s">
        <v>112</v>
      </c>
    </row>
    <row r="33" spans="1:33" ht="14.45" customHeight="1" x14ac:dyDescent="0.25">
      <c r="A33" s="4">
        <v>14</v>
      </c>
      <c r="B33" s="95">
        <v>15</v>
      </c>
      <c r="C33" s="4" t="s">
        <v>30</v>
      </c>
      <c r="D33" s="82" t="s">
        <v>6</v>
      </c>
      <c r="E33" s="82" t="s">
        <v>7</v>
      </c>
      <c r="F33" s="4" t="s">
        <v>43</v>
      </c>
      <c r="G33" s="82" t="s">
        <v>58</v>
      </c>
      <c r="H33" s="87">
        <v>1.4</v>
      </c>
      <c r="I33" s="89" t="s">
        <v>54</v>
      </c>
      <c r="J33" s="5"/>
      <c r="K33" s="20" t="s">
        <v>113</v>
      </c>
      <c r="L33" s="20" t="s">
        <v>169</v>
      </c>
      <c r="M33" s="20" t="s">
        <v>113</v>
      </c>
      <c r="N33" s="20">
        <v>47</v>
      </c>
      <c r="O33" s="20" t="s">
        <v>113</v>
      </c>
      <c r="P33" s="20">
        <v>2089</v>
      </c>
      <c r="Q33" s="20" t="s">
        <v>131</v>
      </c>
      <c r="R33" s="20" t="s">
        <v>131</v>
      </c>
      <c r="S33" s="66">
        <v>669</v>
      </c>
      <c r="T33" s="66">
        <v>630</v>
      </c>
      <c r="U33" s="20" t="s">
        <v>131</v>
      </c>
      <c r="V33" s="20" t="s">
        <v>112</v>
      </c>
      <c r="W33" s="20" t="s">
        <v>281</v>
      </c>
      <c r="X33" s="20">
        <v>3</v>
      </c>
      <c r="Y33" s="20">
        <v>4</v>
      </c>
      <c r="Z33" s="20">
        <v>3</v>
      </c>
      <c r="AA33" s="20" t="s">
        <v>131</v>
      </c>
      <c r="AB33" s="20" t="s">
        <v>131</v>
      </c>
      <c r="AC33" s="20" t="s">
        <v>112</v>
      </c>
      <c r="AD33" s="20" t="s">
        <v>112</v>
      </c>
      <c r="AE33" s="20" t="s">
        <v>131</v>
      </c>
      <c r="AF33" s="20" t="s">
        <v>113</v>
      </c>
      <c r="AG33" s="20" t="s">
        <v>112</v>
      </c>
    </row>
    <row r="34" spans="1:33" ht="14.45" customHeight="1" x14ac:dyDescent="0.25">
      <c r="A34" s="4">
        <v>18</v>
      </c>
      <c r="B34" s="95">
        <v>16</v>
      </c>
      <c r="C34" s="4" t="s">
        <v>30</v>
      </c>
      <c r="D34" s="82" t="s">
        <v>6</v>
      </c>
      <c r="E34" s="82" t="s">
        <v>7</v>
      </c>
      <c r="F34" s="4" t="s">
        <v>43</v>
      </c>
      <c r="G34" s="82" t="s">
        <v>59</v>
      </c>
      <c r="H34" s="87">
        <v>0.6</v>
      </c>
      <c r="I34" s="89" t="s">
        <v>54</v>
      </c>
      <c r="J34" s="5"/>
      <c r="K34" s="20" t="s">
        <v>113</v>
      </c>
      <c r="L34" s="20" t="s">
        <v>170</v>
      </c>
      <c r="M34" s="20" t="s">
        <v>112</v>
      </c>
      <c r="N34" s="20" t="s">
        <v>131</v>
      </c>
      <c r="O34" s="20" t="s">
        <v>111</v>
      </c>
      <c r="P34" s="20">
        <v>2105</v>
      </c>
      <c r="Q34" s="20" t="s">
        <v>131</v>
      </c>
      <c r="R34" s="20" t="s">
        <v>131</v>
      </c>
      <c r="S34" s="66">
        <v>561.39676093695505</v>
      </c>
      <c r="T34" s="66">
        <v>502.67861818673293</v>
      </c>
      <c r="U34" s="20" t="s">
        <v>131</v>
      </c>
      <c r="V34" s="20" t="s">
        <v>112</v>
      </c>
      <c r="W34" s="20" t="s">
        <v>281</v>
      </c>
      <c r="X34" s="20">
        <v>3</v>
      </c>
      <c r="Y34" s="20">
        <v>4</v>
      </c>
      <c r="Z34" s="20">
        <v>3</v>
      </c>
      <c r="AA34" s="20" t="s">
        <v>131</v>
      </c>
      <c r="AB34" s="20" t="s">
        <v>131</v>
      </c>
      <c r="AC34" s="20" t="s">
        <v>112</v>
      </c>
      <c r="AD34" s="20" t="s">
        <v>112</v>
      </c>
      <c r="AE34" s="20" t="s">
        <v>131</v>
      </c>
      <c r="AF34" s="20" t="s">
        <v>113</v>
      </c>
      <c r="AG34" s="20" t="s">
        <v>112</v>
      </c>
    </row>
    <row r="35" spans="1:33" ht="14.45" customHeight="1" x14ac:dyDescent="0.25">
      <c r="A35" s="4">
        <v>10</v>
      </c>
      <c r="B35" s="95">
        <v>17</v>
      </c>
      <c r="C35" s="2" t="s">
        <v>30</v>
      </c>
      <c r="D35" s="82" t="s">
        <v>27</v>
      </c>
      <c r="E35" s="82" t="s">
        <v>8</v>
      </c>
      <c r="F35" s="4" t="s">
        <v>37</v>
      </c>
      <c r="G35" s="82" t="s">
        <v>324</v>
      </c>
      <c r="H35" s="87">
        <f>5.5+29.5</f>
        <v>35</v>
      </c>
      <c r="I35" s="89" t="s">
        <v>307</v>
      </c>
      <c r="J35" s="1"/>
      <c r="K35" s="11" t="s">
        <v>113</v>
      </c>
      <c r="L35" s="11" t="s">
        <v>308</v>
      </c>
      <c r="M35" s="11" t="s">
        <v>113</v>
      </c>
      <c r="N35" s="11">
        <v>11</v>
      </c>
      <c r="O35" s="11" t="s">
        <v>112</v>
      </c>
      <c r="P35" s="11" t="s">
        <v>131</v>
      </c>
      <c r="Q35" s="11" t="s">
        <v>131</v>
      </c>
      <c r="R35" s="11" t="s">
        <v>131</v>
      </c>
      <c r="S35" s="65">
        <v>8400.7004096038399</v>
      </c>
      <c r="T35" s="65">
        <v>4490.0961893826498</v>
      </c>
      <c r="U35" s="11" t="s">
        <v>131</v>
      </c>
      <c r="V35" s="11" t="s">
        <v>113</v>
      </c>
      <c r="W35" s="11" t="s">
        <v>279</v>
      </c>
      <c r="X35" s="11">
        <v>4</v>
      </c>
      <c r="Y35" s="11">
        <v>3</v>
      </c>
      <c r="Z35" s="11">
        <v>5</v>
      </c>
      <c r="AA35" s="11" t="s">
        <v>131</v>
      </c>
      <c r="AB35" s="11" t="s">
        <v>131</v>
      </c>
      <c r="AC35" s="11" t="s">
        <v>112</v>
      </c>
      <c r="AD35" s="11" t="s">
        <v>113</v>
      </c>
      <c r="AE35" s="11" t="s">
        <v>209</v>
      </c>
      <c r="AF35" s="11" t="s">
        <v>113</v>
      </c>
      <c r="AG35" s="11" t="s">
        <v>113</v>
      </c>
    </row>
    <row r="36" spans="1:33" ht="14.45" customHeight="1" x14ac:dyDescent="0.25">
      <c r="A36" s="2">
        <v>20</v>
      </c>
      <c r="B36" s="95">
        <v>18</v>
      </c>
      <c r="C36" s="4" t="s">
        <v>29</v>
      </c>
      <c r="D36" s="84" t="s">
        <v>27</v>
      </c>
      <c r="E36" s="82" t="s">
        <v>60</v>
      </c>
      <c r="F36" s="5" t="s">
        <v>39</v>
      </c>
      <c r="G36" s="82" t="s">
        <v>61</v>
      </c>
      <c r="H36" s="87">
        <v>174.3</v>
      </c>
      <c r="I36" s="89" t="s">
        <v>62</v>
      </c>
      <c r="J36" s="5" t="s">
        <v>63</v>
      </c>
      <c r="K36" s="20" t="s">
        <v>111</v>
      </c>
      <c r="L36" s="20" t="s">
        <v>163</v>
      </c>
      <c r="M36" s="20" t="s">
        <v>111</v>
      </c>
      <c r="N36" s="20">
        <v>9</v>
      </c>
      <c r="O36" s="20" t="s">
        <v>112</v>
      </c>
      <c r="P36" s="20" t="s">
        <v>131</v>
      </c>
      <c r="Q36" s="20" t="s">
        <v>113</v>
      </c>
      <c r="R36" s="20" t="s">
        <v>129</v>
      </c>
      <c r="S36" s="66">
        <v>104509.218188115</v>
      </c>
      <c r="T36" s="66">
        <v>85272.480404783579</v>
      </c>
      <c r="U36" s="20" t="s">
        <v>131</v>
      </c>
      <c r="V36" s="20" t="s">
        <v>112</v>
      </c>
      <c r="W36" s="20" t="s">
        <v>282</v>
      </c>
      <c r="X36" s="20">
        <v>2</v>
      </c>
      <c r="Y36" s="20">
        <v>1</v>
      </c>
      <c r="Z36" s="20">
        <v>4</v>
      </c>
      <c r="AA36" s="20" t="s">
        <v>113</v>
      </c>
      <c r="AB36" s="20" t="s">
        <v>241</v>
      </c>
      <c r="AC36" s="20" t="s">
        <v>131</v>
      </c>
      <c r="AD36" s="20" t="s">
        <v>131</v>
      </c>
      <c r="AE36" s="20" t="s">
        <v>131</v>
      </c>
      <c r="AF36" s="20" t="s">
        <v>131</v>
      </c>
      <c r="AG36" s="20" t="s">
        <v>131</v>
      </c>
    </row>
    <row r="37" spans="1:33" ht="14.45" customHeight="1" x14ac:dyDescent="0.25">
      <c r="A37" s="4">
        <v>21</v>
      </c>
      <c r="B37" s="95">
        <v>19</v>
      </c>
      <c r="C37" s="4" t="s">
        <v>30</v>
      </c>
      <c r="D37" s="82" t="s">
        <v>11</v>
      </c>
      <c r="E37" s="82" t="s">
        <v>20</v>
      </c>
      <c r="F37" s="4" t="s">
        <v>37</v>
      </c>
      <c r="G37" s="82" t="s">
        <v>325</v>
      </c>
      <c r="H37" s="87">
        <v>28.9</v>
      </c>
      <c r="I37" s="89" t="s">
        <v>62</v>
      </c>
      <c r="J37" s="5"/>
      <c r="K37" s="20" t="s">
        <v>113</v>
      </c>
      <c r="L37" s="20" t="s">
        <v>171</v>
      </c>
      <c r="M37" s="20" t="s">
        <v>113</v>
      </c>
      <c r="N37" s="20">
        <v>35</v>
      </c>
      <c r="O37" s="20" t="s">
        <v>113</v>
      </c>
      <c r="P37" s="20">
        <v>2070</v>
      </c>
      <c r="Q37" s="20" t="s">
        <v>131</v>
      </c>
      <c r="R37" s="20" t="s">
        <v>131</v>
      </c>
      <c r="S37" s="66">
        <v>987.75550561845296</v>
      </c>
      <c r="T37" s="66">
        <v>843.20602852501281</v>
      </c>
      <c r="U37" s="20" t="s">
        <v>131</v>
      </c>
      <c r="V37" s="20" t="s">
        <v>113</v>
      </c>
      <c r="W37" s="20" t="s">
        <v>279</v>
      </c>
      <c r="X37" s="20">
        <v>4</v>
      </c>
      <c r="Y37" s="20">
        <v>3</v>
      </c>
      <c r="Z37" s="20">
        <v>5</v>
      </c>
      <c r="AA37" s="20" t="s">
        <v>131</v>
      </c>
      <c r="AB37" s="20" t="s">
        <v>131</v>
      </c>
      <c r="AC37" s="20" t="s">
        <v>112</v>
      </c>
      <c r="AD37" s="20" t="s">
        <v>113</v>
      </c>
      <c r="AE37" s="20" t="s">
        <v>131</v>
      </c>
      <c r="AF37" s="20" t="s">
        <v>113</v>
      </c>
      <c r="AG37" s="20" t="s">
        <v>113</v>
      </c>
    </row>
    <row r="38" spans="1:33" ht="14.45" customHeight="1" x14ac:dyDescent="0.25">
      <c r="A38" s="50">
        <v>22</v>
      </c>
      <c r="B38" s="95">
        <v>20</v>
      </c>
      <c r="C38" s="4" t="s">
        <v>30</v>
      </c>
      <c r="D38" s="82" t="s">
        <v>12</v>
      </c>
      <c r="E38" s="82" t="s">
        <v>181</v>
      </c>
      <c r="F38" s="4" t="s">
        <v>64</v>
      </c>
      <c r="G38" s="82" t="s">
        <v>13</v>
      </c>
      <c r="H38" s="87">
        <v>16.100000000000001</v>
      </c>
      <c r="I38" s="89" t="s">
        <v>62</v>
      </c>
      <c r="J38" s="5"/>
      <c r="K38" s="20" t="s">
        <v>112</v>
      </c>
      <c r="L38" s="20" t="s">
        <v>131</v>
      </c>
      <c r="M38" s="20" t="s">
        <v>112</v>
      </c>
      <c r="N38" s="20" t="s">
        <v>131</v>
      </c>
      <c r="O38" s="20" t="s">
        <v>112</v>
      </c>
      <c r="P38" s="20" t="s">
        <v>131</v>
      </c>
      <c r="Q38" s="20" t="s">
        <v>131</v>
      </c>
      <c r="R38" s="20" t="s">
        <v>131</v>
      </c>
      <c r="S38" s="66">
        <v>18693.216336633501</v>
      </c>
      <c r="T38" s="66">
        <v>7129.2836176617902</v>
      </c>
      <c r="U38" s="20" t="s">
        <v>131</v>
      </c>
      <c r="V38" s="20" t="s">
        <v>113</v>
      </c>
      <c r="W38" s="20" t="s">
        <v>279</v>
      </c>
      <c r="X38" s="20">
        <v>4</v>
      </c>
      <c r="Y38" s="20">
        <v>3</v>
      </c>
      <c r="Z38" s="20">
        <v>5</v>
      </c>
      <c r="AA38" s="20" t="s">
        <v>131</v>
      </c>
      <c r="AB38" s="20" t="s">
        <v>131</v>
      </c>
      <c r="AC38" s="20" t="s">
        <v>112</v>
      </c>
      <c r="AD38" s="20" t="s">
        <v>112</v>
      </c>
      <c r="AE38" s="20" t="s">
        <v>131</v>
      </c>
      <c r="AF38" s="20" t="s">
        <v>112</v>
      </c>
      <c r="AG38" s="20" t="s">
        <v>207</v>
      </c>
    </row>
    <row r="39" spans="1:33" ht="14.45" customHeight="1" x14ac:dyDescent="0.25">
      <c r="A39" s="4">
        <v>23</v>
      </c>
      <c r="B39" s="95">
        <v>21</v>
      </c>
      <c r="C39" s="4" t="s">
        <v>30</v>
      </c>
      <c r="D39" s="82" t="s">
        <v>317</v>
      </c>
      <c r="E39" s="82" t="s">
        <v>14</v>
      </c>
      <c r="F39" s="4" t="s">
        <v>43</v>
      </c>
      <c r="G39" s="82" t="s">
        <v>326</v>
      </c>
      <c r="H39" s="87">
        <v>10.3</v>
      </c>
      <c r="I39" s="89" t="s">
        <v>62</v>
      </c>
      <c r="J39" s="5"/>
      <c r="K39" s="20" t="s">
        <v>112</v>
      </c>
      <c r="L39" s="20" t="s">
        <v>131</v>
      </c>
      <c r="M39" s="20" t="s">
        <v>112</v>
      </c>
      <c r="N39" s="20" t="s">
        <v>131</v>
      </c>
      <c r="O39" s="20" t="s">
        <v>112</v>
      </c>
      <c r="P39" s="20" t="s">
        <v>131</v>
      </c>
      <c r="Q39" s="20" t="s">
        <v>131</v>
      </c>
      <c r="R39" s="20" t="s">
        <v>131</v>
      </c>
      <c r="S39" s="66">
        <v>4186.5768684227696</v>
      </c>
      <c r="T39" s="66">
        <v>3312.3132590077803</v>
      </c>
      <c r="U39" s="20" t="s">
        <v>131</v>
      </c>
      <c r="V39" s="20" t="s">
        <v>112</v>
      </c>
      <c r="W39" s="20" t="s">
        <v>279</v>
      </c>
      <c r="X39" s="20">
        <v>4</v>
      </c>
      <c r="Y39" s="20">
        <v>3</v>
      </c>
      <c r="Z39" s="20">
        <v>5</v>
      </c>
      <c r="AA39" s="20" t="s">
        <v>131</v>
      </c>
      <c r="AB39" s="20" t="s">
        <v>131</v>
      </c>
      <c r="AC39" s="20" t="s">
        <v>112</v>
      </c>
      <c r="AD39" s="20" t="s">
        <v>113</v>
      </c>
      <c r="AE39" s="20" t="s">
        <v>208</v>
      </c>
      <c r="AF39" s="20" t="s">
        <v>113</v>
      </c>
      <c r="AG39" s="20" t="s">
        <v>207</v>
      </c>
    </row>
    <row r="40" spans="1:33" ht="14.45" customHeight="1" x14ac:dyDescent="0.25">
      <c r="A40" s="7">
        <v>24</v>
      </c>
      <c r="B40" s="95">
        <v>22</v>
      </c>
      <c r="C40" s="4" t="s">
        <v>30</v>
      </c>
      <c r="D40" s="82" t="s">
        <v>318</v>
      </c>
      <c r="E40" s="82" t="s">
        <v>8</v>
      </c>
      <c r="F40" s="4" t="s">
        <v>37</v>
      </c>
      <c r="G40" s="82" t="s">
        <v>327</v>
      </c>
      <c r="H40" s="87">
        <v>9.6999999999999993</v>
      </c>
      <c r="I40" s="89" t="s">
        <v>62</v>
      </c>
      <c r="J40" s="5"/>
      <c r="K40" s="20" t="s">
        <v>112</v>
      </c>
      <c r="L40" s="20" t="s">
        <v>131</v>
      </c>
      <c r="M40" s="20" t="s">
        <v>112</v>
      </c>
      <c r="N40" s="20" t="s">
        <v>131</v>
      </c>
      <c r="O40" s="20" t="s">
        <v>112</v>
      </c>
      <c r="P40" s="20" t="s">
        <v>131</v>
      </c>
      <c r="Q40" s="20" t="s">
        <v>131</v>
      </c>
      <c r="R40" s="20" t="s">
        <v>131</v>
      </c>
      <c r="S40" s="66">
        <v>1654.86521496772</v>
      </c>
      <c r="T40" s="66">
        <v>1079.5156363883855</v>
      </c>
      <c r="U40" s="20" t="s">
        <v>131</v>
      </c>
      <c r="V40" s="20" t="s">
        <v>113</v>
      </c>
      <c r="W40" s="20" t="s">
        <v>279</v>
      </c>
      <c r="X40" s="20">
        <v>4</v>
      </c>
      <c r="Y40" s="20">
        <v>3</v>
      </c>
      <c r="Z40" s="20">
        <v>5</v>
      </c>
      <c r="AA40" s="20" t="s">
        <v>131</v>
      </c>
      <c r="AB40" s="20" t="s">
        <v>131</v>
      </c>
      <c r="AC40" s="20" t="s">
        <v>112</v>
      </c>
      <c r="AD40" s="20" t="s">
        <v>113</v>
      </c>
      <c r="AE40" s="20" t="s">
        <v>131</v>
      </c>
      <c r="AF40" s="20" t="s">
        <v>113</v>
      </c>
      <c r="AG40" s="20" t="s">
        <v>113</v>
      </c>
    </row>
    <row r="41" spans="1:33" ht="14.45" customHeight="1" x14ac:dyDescent="0.25">
      <c r="A41" s="50" t="s">
        <v>92</v>
      </c>
      <c r="B41" s="95" t="s">
        <v>92</v>
      </c>
      <c r="C41" s="4" t="s">
        <v>30</v>
      </c>
      <c r="D41" s="82" t="s">
        <v>107</v>
      </c>
      <c r="E41" s="82" t="s">
        <v>108</v>
      </c>
      <c r="F41" s="4" t="s">
        <v>109</v>
      </c>
      <c r="G41" s="82" t="s">
        <v>110</v>
      </c>
      <c r="H41" s="87">
        <v>4.5</v>
      </c>
      <c r="I41" s="89" t="s">
        <v>62</v>
      </c>
      <c r="J41" s="5"/>
      <c r="K41" s="20" t="s">
        <v>112</v>
      </c>
      <c r="L41" s="20" t="s">
        <v>131</v>
      </c>
      <c r="M41" s="20" t="s">
        <v>112</v>
      </c>
      <c r="N41" s="20" t="s">
        <v>131</v>
      </c>
      <c r="O41" s="20" t="s">
        <v>112</v>
      </c>
      <c r="P41" s="20" t="s">
        <v>131</v>
      </c>
      <c r="Q41" s="20" t="s">
        <v>131</v>
      </c>
      <c r="R41" s="20" t="s">
        <v>131</v>
      </c>
      <c r="S41" s="70" t="s">
        <v>92</v>
      </c>
      <c r="T41" s="70" t="s">
        <v>92</v>
      </c>
      <c r="U41" s="20" t="s">
        <v>92</v>
      </c>
      <c r="V41" s="20" t="s">
        <v>92</v>
      </c>
      <c r="W41" s="20" t="s">
        <v>281</v>
      </c>
      <c r="X41" s="20">
        <v>3</v>
      </c>
      <c r="Y41" s="20">
        <v>4</v>
      </c>
      <c r="Z41" s="20">
        <v>3</v>
      </c>
      <c r="AA41" s="20" t="s">
        <v>131</v>
      </c>
      <c r="AB41" s="20" t="s">
        <v>131</v>
      </c>
      <c r="AC41" s="20" t="s">
        <v>112</v>
      </c>
      <c r="AD41" s="20" t="s">
        <v>112</v>
      </c>
      <c r="AE41" s="20" t="s">
        <v>131</v>
      </c>
      <c r="AF41" s="20" t="s">
        <v>112</v>
      </c>
      <c r="AG41" s="20" t="s">
        <v>207</v>
      </c>
    </row>
    <row r="42" spans="1:33" ht="14.45" customHeight="1" x14ac:dyDescent="0.25">
      <c r="A42" s="4">
        <v>26</v>
      </c>
      <c r="B42" s="95">
        <v>23</v>
      </c>
      <c r="C42" s="4" t="s">
        <v>29</v>
      </c>
      <c r="D42" s="82" t="s">
        <v>71</v>
      </c>
      <c r="E42" s="82" t="s">
        <v>38</v>
      </c>
      <c r="F42" s="5" t="s">
        <v>39</v>
      </c>
      <c r="G42" s="82" t="s">
        <v>40</v>
      </c>
      <c r="H42" s="87">
        <v>4.0999999999999996</v>
      </c>
      <c r="I42" s="89" t="s">
        <v>62</v>
      </c>
      <c r="J42" s="5"/>
      <c r="K42" s="20" t="s">
        <v>111</v>
      </c>
      <c r="L42" s="20" t="s">
        <v>163</v>
      </c>
      <c r="M42" s="20" t="s">
        <v>111</v>
      </c>
      <c r="N42" s="20">
        <v>14</v>
      </c>
      <c r="O42" s="20" t="s">
        <v>112</v>
      </c>
      <c r="P42" s="20" t="s">
        <v>131</v>
      </c>
      <c r="Q42" s="20" t="s">
        <v>112</v>
      </c>
      <c r="R42" s="20" t="s">
        <v>131</v>
      </c>
      <c r="S42" s="66">
        <v>68996.204206148395</v>
      </c>
      <c r="T42" s="66">
        <v>63582.955337424391</v>
      </c>
      <c r="U42" s="20" t="s">
        <v>131</v>
      </c>
      <c r="V42" s="20" t="s">
        <v>112</v>
      </c>
      <c r="W42" s="20" t="s">
        <v>282</v>
      </c>
      <c r="X42" s="20">
        <v>2</v>
      </c>
      <c r="Y42" s="20">
        <v>1</v>
      </c>
      <c r="Z42" s="20">
        <v>4</v>
      </c>
      <c r="AA42" s="20" t="s">
        <v>112</v>
      </c>
      <c r="AB42" s="20" t="s">
        <v>131</v>
      </c>
      <c r="AC42" s="20" t="s">
        <v>131</v>
      </c>
      <c r="AD42" s="20" t="s">
        <v>131</v>
      </c>
      <c r="AE42" s="20" t="s">
        <v>131</v>
      </c>
      <c r="AF42" s="20" t="s">
        <v>131</v>
      </c>
      <c r="AG42" s="20" t="s">
        <v>131</v>
      </c>
    </row>
    <row r="43" spans="1:33" ht="14.45" customHeight="1" x14ac:dyDescent="0.25">
      <c r="A43" s="4">
        <v>28</v>
      </c>
      <c r="B43" s="95">
        <v>24</v>
      </c>
      <c r="C43" s="4" t="s">
        <v>30</v>
      </c>
      <c r="D43" s="82" t="s">
        <v>15</v>
      </c>
      <c r="E43" s="82" t="s">
        <v>181</v>
      </c>
      <c r="F43" s="4" t="s">
        <v>64</v>
      </c>
      <c r="G43" s="82" t="s">
        <v>74</v>
      </c>
      <c r="H43" s="87">
        <v>3.5</v>
      </c>
      <c r="I43" s="89" t="s">
        <v>62</v>
      </c>
      <c r="J43" s="5"/>
      <c r="K43" s="20" t="s">
        <v>112</v>
      </c>
      <c r="L43" s="20" t="s">
        <v>131</v>
      </c>
      <c r="M43" s="20" t="s">
        <v>112</v>
      </c>
      <c r="N43" s="20" t="s">
        <v>131</v>
      </c>
      <c r="O43" s="20" t="s">
        <v>112</v>
      </c>
      <c r="P43" s="20" t="s">
        <v>131</v>
      </c>
      <c r="Q43" s="20" t="s">
        <v>131</v>
      </c>
      <c r="R43" s="20" t="s">
        <v>131</v>
      </c>
      <c r="S43" s="66">
        <v>5208.5003479096704</v>
      </c>
      <c r="T43" s="66">
        <v>3797.0976317840145</v>
      </c>
      <c r="U43" s="20" t="s">
        <v>131</v>
      </c>
      <c r="V43" s="20" t="s">
        <v>113</v>
      </c>
      <c r="W43" s="20" t="s">
        <v>281</v>
      </c>
      <c r="X43" s="20">
        <v>3</v>
      </c>
      <c r="Y43" s="20">
        <v>4</v>
      </c>
      <c r="Z43" s="20">
        <v>3</v>
      </c>
      <c r="AA43" s="20" t="s">
        <v>131</v>
      </c>
      <c r="AB43" s="20" t="s">
        <v>131</v>
      </c>
      <c r="AC43" s="20" t="s">
        <v>112</v>
      </c>
      <c r="AD43" s="20" t="s">
        <v>112</v>
      </c>
      <c r="AE43" s="20" t="s">
        <v>208</v>
      </c>
      <c r="AF43" s="20" t="s">
        <v>112</v>
      </c>
      <c r="AG43" s="20" t="s">
        <v>207</v>
      </c>
    </row>
    <row r="44" spans="1:33" ht="14.45" customHeight="1" x14ac:dyDescent="0.25">
      <c r="A44" s="4">
        <v>29</v>
      </c>
      <c r="B44" s="95">
        <v>25</v>
      </c>
      <c r="C44" s="4" t="s">
        <v>30</v>
      </c>
      <c r="D44" s="82" t="s">
        <v>11</v>
      </c>
      <c r="E44" s="82" t="s">
        <v>17</v>
      </c>
      <c r="F44" s="4" t="s">
        <v>37</v>
      </c>
      <c r="G44" s="82" t="s">
        <v>328</v>
      </c>
      <c r="H44" s="87">
        <v>3.1</v>
      </c>
      <c r="I44" s="89" t="s">
        <v>62</v>
      </c>
      <c r="J44" s="5"/>
      <c r="K44" s="20" t="s">
        <v>113</v>
      </c>
      <c r="L44" s="20" t="s">
        <v>172</v>
      </c>
      <c r="M44" s="20" t="s">
        <v>113</v>
      </c>
      <c r="N44" s="20">
        <v>58</v>
      </c>
      <c r="O44" s="20" t="s">
        <v>113</v>
      </c>
      <c r="P44" s="20">
        <v>2069</v>
      </c>
      <c r="Q44" s="20" t="s">
        <v>131</v>
      </c>
      <c r="R44" s="20" t="s">
        <v>131</v>
      </c>
      <c r="S44" s="66">
        <v>4442.4674295559898</v>
      </c>
      <c r="T44" s="66">
        <v>4203.9319266208886</v>
      </c>
      <c r="U44" s="20" t="s">
        <v>131</v>
      </c>
      <c r="V44" s="20" t="s">
        <v>113</v>
      </c>
      <c r="W44" s="20" t="s">
        <v>279</v>
      </c>
      <c r="X44" s="20">
        <v>4</v>
      </c>
      <c r="Y44" s="20">
        <v>3</v>
      </c>
      <c r="Z44" s="20">
        <v>5</v>
      </c>
      <c r="AA44" s="20" t="s">
        <v>131</v>
      </c>
      <c r="AB44" s="20" t="s">
        <v>131</v>
      </c>
      <c r="AC44" s="20" t="s">
        <v>113</v>
      </c>
      <c r="AD44" s="20" t="s">
        <v>113</v>
      </c>
      <c r="AE44" s="20" t="s">
        <v>131</v>
      </c>
      <c r="AF44" s="20" t="s">
        <v>113</v>
      </c>
      <c r="AG44" s="20" t="s">
        <v>113</v>
      </c>
    </row>
    <row r="45" spans="1:33" ht="14.45" customHeight="1" x14ac:dyDescent="0.25">
      <c r="A45" s="4">
        <v>30</v>
      </c>
      <c r="B45" s="95">
        <v>26</v>
      </c>
      <c r="C45" s="4" t="s">
        <v>30</v>
      </c>
      <c r="D45" s="82" t="s">
        <v>6</v>
      </c>
      <c r="E45" s="82" t="s">
        <v>331</v>
      </c>
      <c r="F45" s="4" t="s">
        <v>43</v>
      </c>
      <c r="G45" s="82" t="s">
        <v>329</v>
      </c>
      <c r="H45" s="87">
        <v>0.3</v>
      </c>
      <c r="I45" s="89" t="s">
        <v>62</v>
      </c>
      <c r="J45" s="5"/>
      <c r="K45" s="20" t="s">
        <v>112</v>
      </c>
      <c r="L45" s="20" t="s">
        <v>131</v>
      </c>
      <c r="M45" s="20" t="s">
        <v>112</v>
      </c>
      <c r="N45" s="20" t="s">
        <v>131</v>
      </c>
      <c r="O45" s="20" t="s">
        <v>112</v>
      </c>
      <c r="P45" s="20" t="s">
        <v>131</v>
      </c>
      <c r="Q45" s="20" t="s">
        <v>131</v>
      </c>
      <c r="R45" s="20"/>
      <c r="S45" s="66">
        <v>2832.4312514029398</v>
      </c>
      <c r="T45" s="66">
        <v>2832.4312514029398</v>
      </c>
      <c r="U45" s="20" t="s">
        <v>131</v>
      </c>
      <c r="V45" s="20" t="s">
        <v>112</v>
      </c>
      <c r="W45" s="20" t="s">
        <v>281</v>
      </c>
      <c r="X45" s="20">
        <v>3</v>
      </c>
      <c r="Y45" s="20">
        <v>4</v>
      </c>
      <c r="Z45" s="20">
        <v>3</v>
      </c>
      <c r="AA45" s="20" t="s">
        <v>131</v>
      </c>
      <c r="AB45" s="20" t="s">
        <v>131</v>
      </c>
      <c r="AC45" s="20" t="s">
        <v>112</v>
      </c>
      <c r="AD45" s="20" t="s">
        <v>112</v>
      </c>
      <c r="AE45" s="20" t="s">
        <v>131</v>
      </c>
      <c r="AF45" s="20" t="s">
        <v>113</v>
      </c>
      <c r="AG45" s="20" t="s">
        <v>207</v>
      </c>
    </row>
    <row r="46" spans="1:33" ht="14.45" customHeight="1" x14ac:dyDescent="0.25">
      <c r="A46" s="4">
        <v>25</v>
      </c>
      <c r="B46" s="95">
        <v>27</v>
      </c>
      <c r="C46" s="4" t="s">
        <v>30</v>
      </c>
      <c r="D46" s="82" t="s">
        <v>27</v>
      </c>
      <c r="E46" s="82" t="s">
        <v>20</v>
      </c>
      <c r="F46" s="4" t="s">
        <v>37</v>
      </c>
      <c r="G46" s="82" t="s">
        <v>69</v>
      </c>
      <c r="H46" s="87">
        <f>5.1+29</f>
        <v>34.1</v>
      </c>
      <c r="I46" s="89" t="s">
        <v>70</v>
      </c>
      <c r="J46" s="5"/>
      <c r="K46" s="20" t="s">
        <v>113</v>
      </c>
      <c r="L46" s="20" t="s">
        <v>173</v>
      </c>
      <c r="M46" s="20" t="s">
        <v>113</v>
      </c>
      <c r="N46" s="20">
        <v>49</v>
      </c>
      <c r="O46" s="20" t="s">
        <v>112</v>
      </c>
      <c r="P46" s="20" t="s">
        <v>131</v>
      </c>
      <c r="Q46" s="20" t="s">
        <v>131</v>
      </c>
      <c r="R46" s="20" t="s">
        <v>131</v>
      </c>
      <c r="S46" s="66">
        <v>2332.08040820614</v>
      </c>
      <c r="T46" s="66">
        <v>875.59606202622228</v>
      </c>
      <c r="U46" s="20" t="s">
        <v>131</v>
      </c>
      <c r="V46" s="20" t="s">
        <v>113</v>
      </c>
      <c r="W46" s="20" t="s">
        <v>279</v>
      </c>
      <c r="X46" s="20">
        <v>4</v>
      </c>
      <c r="Y46" s="20">
        <v>3</v>
      </c>
      <c r="Z46" s="20">
        <v>5</v>
      </c>
      <c r="AA46" s="20" t="s">
        <v>131</v>
      </c>
      <c r="AB46" s="20" t="s">
        <v>131</v>
      </c>
      <c r="AC46" s="20" t="s">
        <v>112</v>
      </c>
      <c r="AD46" s="20" t="s">
        <v>113</v>
      </c>
      <c r="AE46" s="20" t="s">
        <v>209</v>
      </c>
      <c r="AF46" s="20" t="s">
        <v>113</v>
      </c>
      <c r="AG46" s="20" t="s">
        <v>113</v>
      </c>
    </row>
    <row r="47" spans="1:33" ht="14.45" customHeight="1" x14ac:dyDescent="0.25">
      <c r="A47" s="4">
        <v>27</v>
      </c>
      <c r="B47" s="95">
        <v>28</v>
      </c>
      <c r="C47" s="4" t="s">
        <v>30</v>
      </c>
      <c r="D47" s="82" t="s">
        <v>319</v>
      </c>
      <c r="E47" s="82" t="s">
        <v>20</v>
      </c>
      <c r="F47" s="4" t="s">
        <v>37</v>
      </c>
      <c r="G47" s="82" t="s">
        <v>73</v>
      </c>
      <c r="H47" s="87">
        <f>4.1+23.2</f>
        <v>27.299999999999997</v>
      </c>
      <c r="I47" s="89" t="s">
        <v>70</v>
      </c>
      <c r="J47" s="5"/>
      <c r="K47" s="20" t="s">
        <v>113</v>
      </c>
      <c r="L47" s="20" t="s">
        <v>174</v>
      </c>
      <c r="M47" s="20" t="s">
        <v>113</v>
      </c>
      <c r="N47" s="20">
        <v>37</v>
      </c>
      <c r="O47" s="20" t="s">
        <v>112</v>
      </c>
      <c r="P47" s="20" t="s">
        <v>131</v>
      </c>
      <c r="Q47" s="20" t="s">
        <v>131</v>
      </c>
      <c r="R47" s="20" t="s">
        <v>131</v>
      </c>
      <c r="S47" s="66">
        <v>2556.6300111772198</v>
      </c>
      <c r="T47" s="66">
        <v>2403.8888518279191</v>
      </c>
      <c r="U47" s="20" t="s">
        <v>131</v>
      </c>
      <c r="V47" s="20" t="s">
        <v>113</v>
      </c>
      <c r="W47" s="20" t="s">
        <v>279</v>
      </c>
      <c r="X47" s="20">
        <v>4</v>
      </c>
      <c r="Y47" s="20">
        <v>3</v>
      </c>
      <c r="Z47" s="20">
        <v>5</v>
      </c>
      <c r="AA47" s="20" t="s">
        <v>131</v>
      </c>
      <c r="AB47" s="20" t="s">
        <v>131</v>
      </c>
      <c r="AC47" s="20" t="s">
        <v>112</v>
      </c>
      <c r="AD47" s="20" t="s">
        <v>113</v>
      </c>
      <c r="AE47" s="20" t="s">
        <v>211</v>
      </c>
      <c r="AF47" s="20" t="s">
        <v>113</v>
      </c>
      <c r="AG47" s="20" t="s">
        <v>113</v>
      </c>
    </row>
    <row r="48" spans="1:33" ht="14.45" customHeight="1" x14ac:dyDescent="0.25">
      <c r="A48" s="7">
        <v>31</v>
      </c>
      <c r="B48" s="95">
        <v>29</v>
      </c>
      <c r="C48" s="4" t="s">
        <v>29</v>
      </c>
      <c r="D48" s="82" t="s">
        <v>16</v>
      </c>
      <c r="E48" s="82" t="s">
        <v>38</v>
      </c>
      <c r="F48" s="5" t="s">
        <v>39</v>
      </c>
      <c r="G48" s="82" t="s">
        <v>76</v>
      </c>
      <c r="H48" s="87">
        <v>386.2</v>
      </c>
      <c r="I48" s="89" t="s">
        <v>77</v>
      </c>
      <c r="J48" s="5"/>
      <c r="K48" s="20" t="s">
        <v>111</v>
      </c>
      <c r="L48" s="20" t="s">
        <v>163</v>
      </c>
      <c r="M48" s="20" t="s">
        <v>111</v>
      </c>
      <c r="N48" s="20">
        <v>6</v>
      </c>
      <c r="O48" s="20" t="s">
        <v>112</v>
      </c>
      <c r="P48" s="20" t="s">
        <v>131</v>
      </c>
      <c r="Q48" s="20" t="s">
        <v>113</v>
      </c>
      <c r="R48" s="20" t="s">
        <v>129</v>
      </c>
      <c r="S48" s="66">
        <v>119731.202728327</v>
      </c>
      <c r="T48" s="66">
        <v>119731.202728327</v>
      </c>
      <c r="U48" s="20" t="s">
        <v>131</v>
      </c>
      <c r="V48" s="20" t="s">
        <v>112</v>
      </c>
      <c r="W48" s="20" t="s">
        <v>282</v>
      </c>
      <c r="X48" s="20">
        <v>2</v>
      </c>
      <c r="Y48" s="20">
        <v>1</v>
      </c>
      <c r="Z48" s="20">
        <v>4</v>
      </c>
      <c r="AA48" s="20" t="s">
        <v>113</v>
      </c>
      <c r="AB48" s="20" t="s">
        <v>203</v>
      </c>
      <c r="AC48" s="20" t="s">
        <v>131</v>
      </c>
      <c r="AD48" s="20" t="s">
        <v>131</v>
      </c>
      <c r="AE48" s="20" t="s">
        <v>131</v>
      </c>
      <c r="AF48" s="20" t="s">
        <v>131</v>
      </c>
      <c r="AG48" s="20" t="s">
        <v>131</v>
      </c>
    </row>
    <row r="49" spans="1:33" ht="14.45" customHeight="1" x14ac:dyDescent="0.25">
      <c r="A49" s="7">
        <v>32</v>
      </c>
      <c r="B49" s="95">
        <v>30</v>
      </c>
      <c r="C49" s="4" t="s">
        <v>30</v>
      </c>
      <c r="D49" s="82" t="s">
        <v>320</v>
      </c>
      <c r="E49" s="82" t="s">
        <v>17</v>
      </c>
      <c r="F49" s="4" t="s">
        <v>37</v>
      </c>
      <c r="G49" s="82" t="s">
        <v>79</v>
      </c>
      <c r="H49" s="87">
        <v>72.400000000000006</v>
      </c>
      <c r="I49" s="89" t="s">
        <v>77</v>
      </c>
      <c r="J49" s="5"/>
      <c r="K49" s="20" t="s">
        <v>113</v>
      </c>
      <c r="L49" s="20" t="s">
        <v>175</v>
      </c>
      <c r="M49" s="20" t="s">
        <v>113</v>
      </c>
      <c r="N49" s="20">
        <v>56</v>
      </c>
      <c r="O49" s="20" t="s">
        <v>112</v>
      </c>
      <c r="P49" s="20" t="s">
        <v>131</v>
      </c>
      <c r="Q49" s="20" t="s">
        <v>131</v>
      </c>
      <c r="R49" s="20" t="s">
        <v>131</v>
      </c>
      <c r="S49" s="66">
        <v>1877.73704038654</v>
      </c>
      <c r="T49" s="66">
        <v>1269.4900429375896</v>
      </c>
      <c r="U49" s="20" t="s">
        <v>131</v>
      </c>
      <c r="V49" s="20" t="s">
        <v>113</v>
      </c>
      <c r="W49" s="20" t="s">
        <v>279</v>
      </c>
      <c r="X49" s="20">
        <v>4</v>
      </c>
      <c r="Y49" s="20">
        <v>3</v>
      </c>
      <c r="Z49" s="20">
        <v>5</v>
      </c>
      <c r="AA49" s="20" t="s">
        <v>131</v>
      </c>
      <c r="AB49" s="20" t="s">
        <v>131</v>
      </c>
      <c r="AC49" s="20" t="s">
        <v>113</v>
      </c>
      <c r="AD49" s="20" t="s">
        <v>113</v>
      </c>
      <c r="AE49" s="20" t="s">
        <v>131</v>
      </c>
      <c r="AF49" s="20" t="s">
        <v>113</v>
      </c>
      <c r="AG49" s="20" t="s">
        <v>113</v>
      </c>
    </row>
    <row r="50" spans="1:33" ht="14.45" customHeight="1" x14ac:dyDescent="0.25">
      <c r="A50" s="51">
        <v>33</v>
      </c>
      <c r="B50" s="95">
        <v>31</v>
      </c>
      <c r="C50" s="4" t="s">
        <v>30</v>
      </c>
      <c r="D50" s="82" t="s">
        <v>321</v>
      </c>
      <c r="E50" s="82" t="s">
        <v>18</v>
      </c>
      <c r="F50" s="7" t="s">
        <v>81</v>
      </c>
      <c r="G50" s="82" t="s">
        <v>19</v>
      </c>
      <c r="H50" s="87">
        <v>56.6</v>
      </c>
      <c r="I50" s="89" t="s">
        <v>77</v>
      </c>
      <c r="J50" s="5"/>
      <c r="K50" s="20" t="s">
        <v>112</v>
      </c>
      <c r="L50" s="20" t="s">
        <v>131</v>
      </c>
      <c r="M50" s="20" t="s">
        <v>112</v>
      </c>
      <c r="N50" s="20" t="s">
        <v>131</v>
      </c>
      <c r="O50" s="20" t="s">
        <v>112</v>
      </c>
      <c r="P50" s="20" t="s">
        <v>131</v>
      </c>
      <c r="Q50" s="20" t="s">
        <v>131</v>
      </c>
      <c r="R50" s="20" t="s">
        <v>131</v>
      </c>
      <c r="S50" s="66">
        <v>5652.4529695992796</v>
      </c>
      <c r="T50" s="66">
        <v>3690.3869794937823</v>
      </c>
      <c r="U50" s="20" t="s">
        <v>131</v>
      </c>
      <c r="V50" s="20" t="s">
        <v>113</v>
      </c>
      <c r="W50" s="20" t="s">
        <v>281</v>
      </c>
      <c r="X50" s="20">
        <v>3</v>
      </c>
      <c r="Y50" s="20">
        <v>4</v>
      </c>
      <c r="Z50" s="20">
        <v>3</v>
      </c>
      <c r="AA50" s="20" t="s">
        <v>131</v>
      </c>
      <c r="AB50" s="20" t="s">
        <v>131</v>
      </c>
      <c r="AC50" s="20" t="s">
        <v>113</v>
      </c>
      <c r="AD50" s="20" t="s">
        <v>113</v>
      </c>
      <c r="AE50" s="20" t="s">
        <v>131</v>
      </c>
      <c r="AF50" s="20" t="s">
        <v>113</v>
      </c>
      <c r="AG50" s="20" t="s">
        <v>113</v>
      </c>
    </row>
    <row r="51" spans="1:33" ht="14.45" customHeight="1" x14ac:dyDescent="0.25">
      <c r="A51" s="7">
        <v>34</v>
      </c>
      <c r="B51" s="95">
        <v>32</v>
      </c>
      <c r="C51" s="4" t="s">
        <v>30</v>
      </c>
      <c r="D51" s="82" t="s">
        <v>322</v>
      </c>
      <c r="E51" s="82" t="s">
        <v>20</v>
      </c>
      <c r="F51" s="4" t="s">
        <v>37</v>
      </c>
      <c r="G51" s="82" t="s">
        <v>83</v>
      </c>
      <c r="H51" s="87">
        <v>47.5</v>
      </c>
      <c r="I51" s="89" t="s">
        <v>77</v>
      </c>
      <c r="J51" s="5"/>
      <c r="K51" s="20" t="s">
        <v>113</v>
      </c>
      <c r="L51" s="20" t="s">
        <v>176</v>
      </c>
      <c r="M51" s="20" t="s">
        <v>113</v>
      </c>
      <c r="N51" s="20">
        <v>50</v>
      </c>
      <c r="O51" s="20" t="s">
        <v>113</v>
      </c>
      <c r="P51" s="20">
        <v>2117</v>
      </c>
      <c r="Q51" s="20" t="s">
        <v>131</v>
      </c>
      <c r="R51" s="20" t="s">
        <v>131</v>
      </c>
      <c r="S51" s="66">
        <v>4745.16709213993</v>
      </c>
      <c r="T51" s="66">
        <v>4235.0949745479638</v>
      </c>
      <c r="U51" s="20" t="s">
        <v>131</v>
      </c>
      <c r="V51" s="20" t="s">
        <v>113</v>
      </c>
      <c r="W51" s="20" t="s">
        <v>279</v>
      </c>
      <c r="X51" s="20">
        <v>4</v>
      </c>
      <c r="Y51" s="20">
        <v>3</v>
      </c>
      <c r="Z51" s="20">
        <v>5</v>
      </c>
      <c r="AA51" s="20" t="s">
        <v>131</v>
      </c>
      <c r="AB51" s="20" t="s">
        <v>131</v>
      </c>
      <c r="AC51" s="20" t="s">
        <v>112</v>
      </c>
      <c r="AD51" s="20" t="s">
        <v>113</v>
      </c>
      <c r="AE51" s="20" t="s">
        <v>209</v>
      </c>
      <c r="AF51" s="20" t="s">
        <v>113</v>
      </c>
      <c r="AG51" s="20" t="s">
        <v>113</v>
      </c>
    </row>
    <row r="52" spans="1:33" ht="14.45" customHeight="1" x14ac:dyDescent="0.25">
      <c r="A52" s="7">
        <v>35</v>
      </c>
      <c r="B52" s="95">
        <v>33</v>
      </c>
      <c r="C52" s="4" t="s">
        <v>30</v>
      </c>
      <c r="D52" s="82" t="s">
        <v>4</v>
      </c>
      <c r="E52" s="82" t="s">
        <v>5</v>
      </c>
      <c r="F52" s="7" t="s">
        <v>84</v>
      </c>
      <c r="G52" s="82" t="s">
        <v>85</v>
      </c>
      <c r="H52" s="87">
        <v>38.6</v>
      </c>
      <c r="I52" s="89" t="s">
        <v>77</v>
      </c>
      <c r="J52" s="5"/>
      <c r="K52" s="20" t="s">
        <v>113</v>
      </c>
      <c r="L52" s="20" t="s">
        <v>178</v>
      </c>
      <c r="M52" s="20" t="s">
        <v>112</v>
      </c>
      <c r="N52" s="20" t="s">
        <v>131</v>
      </c>
      <c r="O52" s="20" t="s">
        <v>113</v>
      </c>
      <c r="P52" s="20">
        <v>2107</v>
      </c>
      <c r="Q52" s="20" t="s">
        <v>131</v>
      </c>
      <c r="R52" s="20" t="s">
        <v>131</v>
      </c>
      <c r="S52" s="66">
        <v>273.69524868604498</v>
      </c>
      <c r="T52" s="66">
        <v>192.45989065541679</v>
      </c>
      <c r="U52" s="20" t="s">
        <v>131</v>
      </c>
      <c r="V52" s="20" t="s">
        <v>112</v>
      </c>
      <c r="W52" s="20" t="s">
        <v>281</v>
      </c>
      <c r="X52" s="20">
        <v>3</v>
      </c>
      <c r="Y52" s="20">
        <v>4</v>
      </c>
      <c r="Z52" s="20">
        <v>3</v>
      </c>
      <c r="AA52" s="20" t="s">
        <v>131</v>
      </c>
      <c r="AB52" s="20" t="s">
        <v>131</v>
      </c>
      <c r="AC52" s="20" t="s">
        <v>112</v>
      </c>
      <c r="AD52" s="20" t="s">
        <v>112</v>
      </c>
      <c r="AE52" s="20" t="s">
        <v>131</v>
      </c>
      <c r="AF52" s="20" t="s">
        <v>113</v>
      </c>
      <c r="AG52" s="20" t="s">
        <v>207</v>
      </c>
    </row>
    <row r="53" spans="1:33" ht="14.45" customHeight="1" x14ac:dyDescent="0.25">
      <c r="A53" s="7">
        <v>36</v>
      </c>
      <c r="B53" s="95">
        <v>34</v>
      </c>
      <c r="C53" s="4" t="s">
        <v>30</v>
      </c>
      <c r="D53" s="82" t="s">
        <v>11</v>
      </c>
      <c r="E53" s="82" t="s">
        <v>8</v>
      </c>
      <c r="F53" s="4" t="s">
        <v>37</v>
      </c>
      <c r="G53" s="82" t="s">
        <v>86</v>
      </c>
      <c r="H53" s="87">
        <v>25.3</v>
      </c>
      <c r="I53" s="89" t="s">
        <v>77</v>
      </c>
      <c r="J53" s="5"/>
      <c r="K53" s="20" t="s">
        <v>113</v>
      </c>
      <c r="L53" s="20" t="s">
        <v>166</v>
      </c>
      <c r="M53" s="20" t="s">
        <v>113</v>
      </c>
      <c r="N53" s="20">
        <v>20</v>
      </c>
      <c r="O53" s="20" t="s">
        <v>113</v>
      </c>
      <c r="P53" s="20">
        <v>2071</v>
      </c>
      <c r="Q53" s="20" t="s">
        <v>131</v>
      </c>
      <c r="R53" s="20" t="s">
        <v>131</v>
      </c>
      <c r="S53" s="66">
        <v>11793.3692143278</v>
      </c>
      <c r="T53" s="66">
        <v>11793.3692143278</v>
      </c>
      <c r="U53" s="20" t="s">
        <v>131</v>
      </c>
      <c r="V53" s="20" t="s">
        <v>113</v>
      </c>
      <c r="W53" s="20" t="s">
        <v>279</v>
      </c>
      <c r="X53" s="20">
        <v>4</v>
      </c>
      <c r="Y53" s="20">
        <v>3</v>
      </c>
      <c r="Z53" s="20">
        <v>5</v>
      </c>
      <c r="AA53" s="20" t="s">
        <v>131</v>
      </c>
      <c r="AB53" s="20" t="s">
        <v>131</v>
      </c>
      <c r="AC53" s="20" t="s">
        <v>112</v>
      </c>
      <c r="AD53" s="20" t="s">
        <v>113</v>
      </c>
      <c r="AE53" s="20" t="s">
        <v>208</v>
      </c>
      <c r="AF53" s="20" t="s">
        <v>113</v>
      </c>
      <c r="AG53" s="20" t="s">
        <v>113</v>
      </c>
    </row>
    <row r="54" spans="1:33" ht="14.45" customHeight="1" x14ac:dyDescent="0.25">
      <c r="A54" s="51">
        <v>37</v>
      </c>
      <c r="B54" s="95">
        <v>35</v>
      </c>
      <c r="C54" s="4" t="s">
        <v>30</v>
      </c>
      <c r="D54" s="82" t="s">
        <v>323</v>
      </c>
      <c r="E54" s="82" t="s">
        <v>21</v>
      </c>
      <c r="F54" s="7" t="s">
        <v>84</v>
      </c>
      <c r="G54" s="82" t="s">
        <v>330</v>
      </c>
      <c r="H54" s="87">
        <v>15.6</v>
      </c>
      <c r="I54" s="89" t="s">
        <v>77</v>
      </c>
      <c r="J54" s="5"/>
      <c r="K54" s="20" t="s">
        <v>112</v>
      </c>
      <c r="L54" s="20" t="s">
        <v>131</v>
      </c>
      <c r="M54" s="20" t="s">
        <v>112</v>
      </c>
      <c r="N54" s="20" t="s">
        <v>131</v>
      </c>
      <c r="O54" s="20" t="s">
        <v>112</v>
      </c>
      <c r="P54" s="20" t="s">
        <v>131</v>
      </c>
      <c r="Q54" s="20" t="s">
        <v>131</v>
      </c>
      <c r="R54" s="20" t="s">
        <v>131</v>
      </c>
      <c r="S54" s="66">
        <v>2959.2489745378598</v>
      </c>
      <c r="T54" s="66">
        <v>2592.800638195547</v>
      </c>
      <c r="U54" s="20" t="s">
        <v>131</v>
      </c>
      <c r="V54" s="20" t="s">
        <v>112</v>
      </c>
      <c r="W54" s="20" t="s">
        <v>281</v>
      </c>
      <c r="X54" s="20">
        <v>3</v>
      </c>
      <c r="Y54" s="20">
        <v>4</v>
      </c>
      <c r="Z54" s="20">
        <v>3</v>
      </c>
      <c r="AA54" s="20" t="s">
        <v>131</v>
      </c>
      <c r="AB54" s="20" t="s">
        <v>131</v>
      </c>
      <c r="AC54" s="20" t="s">
        <v>112</v>
      </c>
      <c r="AD54" s="20" t="s">
        <v>113</v>
      </c>
      <c r="AE54" s="20" t="s">
        <v>131</v>
      </c>
      <c r="AF54" s="20" t="s">
        <v>113</v>
      </c>
      <c r="AG54" s="20" t="s">
        <v>207</v>
      </c>
    </row>
    <row r="55" spans="1:33" ht="14.45" customHeight="1" x14ac:dyDescent="0.25">
      <c r="A55" s="7">
        <v>38</v>
      </c>
      <c r="B55" s="97">
        <v>36</v>
      </c>
      <c r="C55" s="4" t="s">
        <v>30</v>
      </c>
      <c r="D55" s="91" t="s">
        <v>11</v>
      </c>
      <c r="E55" s="91" t="s">
        <v>89</v>
      </c>
      <c r="F55" s="4" t="s">
        <v>37</v>
      </c>
      <c r="G55" s="91" t="s">
        <v>90</v>
      </c>
      <c r="H55" s="92">
        <v>13.1</v>
      </c>
      <c r="I55" s="93" t="s">
        <v>77</v>
      </c>
      <c r="J55" s="5"/>
      <c r="K55" s="20" t="s">
        <v>113</v>
      </c>
      <c r="L55" s="20" t="s">
        <v>177</v>
      </c>
      <c r="M55" s="20" t="s">
        <v>113</v>
      </c>
      <c r="N55" s="20">
        <v>24</v>
      </c>
      <c r="O55" s="20" t="s">
        <v>112</v>
      </c>
      <c r="P55" s="20" t="s">
        <v>131</v>
      </c>
      <c r="Q55" s="20" t="s">
        <v>131</v>
      </c>
      <c r="R55" s="20" t="s">
        <v>131</v>
      </c>
      <c r="S55" s="66">
        <v>12081.381461134801</v>
      </c>
      <c r="T55" s="66">
        <v>12081.381461134801</v>
      </c>
      <c r="U55" s="20" t="s">
        <v>131</v>
      </c>
      <c r="V55" s="20" t="s">
        <v>113</v>
      </c>
      <c r="W55" s="20" t="s">
        <v>279</v>
      </c>
      <c r="X55" s="20">
        <v>4</v>
      </c>
      <c r="Y55" s="20">
        <v>3</v>
      </c>
      <c r="Z55" s="20">
        <v>5</v>
      </c>
      <c r="AA55" s="20" t="s">
        <v>131</v>
      </c>
      <c r="AB55" s="20" t="s">
        <v>131</v>
      </c>
      <c r="AC55" s="20" t="s">
        <v>112</v>
      </c>
      <c r="AD55" s="20" t="s">
        <v>113</v>
      </c>
      <c r="AE55" s="20" t="s">
        <v>210</v>
      </c>
      <c r="AF55" s="20" t="s">
        <v>113</v>
      </c>
      <c r="AG55" s="20" t="s">
        <v>112</v>
      </c>
    </row>
    <row r="57" spans="1:33" ht="18.75" x14ac:dyDescent="0.25">
      <c r="B57" s="141" t="s">
        <v>332</v>
      </c>
      <c r="C57" s="138"/>
      <c r="D57" s="141"/>
      <c r="E57" s="141"/>
      <c r="F57" s="138"/>
      <c r="G57" s="141"/>
      <c r="H57" s="141"/>
      <c r="I57" s="141"/>
    </row>
    <row r="58" spans="1:33" x14ac:dyDescent="0.25">
      <c r="B58" s="26"/>
      <c r="D58" s="26"/>
    </row>
    <row r="59" spans="1:33" ht="21.75" x14ac:dyDescent="0.25">
      <c r="B59" s="102" t="s">
        <v>335</v>
      </c>
    </row>
    <row r="60" spans="1:33" ht="18.75" x14ac:dyDescent="0.25">
      <c r="E60" s="142">
        <v>2</v>
      </c>
      <c r="F60" s="143"/>
      <c r="G60" s="142"/>
      <c r="I60" s="98" t="s">
        <v>333</v>
      </c>
    </row>
    <row r="62" spans="1:33" x14ac:dyDescent="0.25">
      <c r="E62" s="80"/>
    </row>
  </sheetData>
  <autoFilter ref="A4:AG55">
    <filterColumn colId="2">
      <filters>
        <filter val="R"/>
        <filter val="T"/>
      </filters>
    </filterColumn>
    <sortState ref="A3:AG53">
      <sortCondition ref="I3:I53"/>
      <sortCondition descending="1" ref="H3:H53"/>
    </sortState>
  </autoFilter>
  <mergeCells count="12">
    <mergeCell ref="E60:G60"/>
    <mergeCell ref="K2:L2"/>
    <mergeCell ref="M2:N2"/>
    <mergeCell ref="O2:P2"/>
    <mergeCell ref="Q2:R2"/>
    <mergeCell ref="AA2:AB2"/>
    <mergeCell ref="AC2:AG2"/>
    <mergeCell ref="B1:I1"/>
    <mergeCell ref="B2:I2"/>
    <mergeCell ref="B57:I57"/>
    <mergeCell ref="S2:V2"/>
    <mergeCell ref="W2:Z2"/>
  </mergeCells>
  <printOptions horizontalCentered="1" verticalCentered="1"/>
  <pageMargins left="0.5" right="0.5" top="0.5" bottom="0.5" header="0.25" footer="0.25"/>
  <pageSetup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  <pageSetUpPr fitToPage="1"/>
  </sheetPr>
  <dimension ref="A1:AJ60"/>
  <sheetViews>
    <sheetView showGridLines="0" zoomScaleNormal="100" workbookViewId="0">
      <pane xSplit="5" ySplit="5" topLeftCell="G6" activePane="bottomRight" state="frozen"/>
      <selection pane="topRight" activeCell="E1" sqref="E1"/>
      <selection pane="bottomLeft" activeCell="A3" sqref="A3"/>
      <selection pane="bottomRight" activeCell="B1" sqref="B1:L1"/>
    </sheetView>
  </sheetViews>
  <sheetFormatPr defaultRowHeight="15.75" x14ac:dyDescent="0.25"/>
  <cols>
    <col min="1" max="1" width="7.5703125" style="14" hidden="1" customWidth="1"/>
    <col min="2" max="2" width="7.5703125" style="22" customWidth="1"/>
    <col min="3" max="3" width="5.85546875" style="14" hidden="1" customWidth="1"/>
    <col min="4" max="4" width="32.7109375" style="22" customWidth="1"/>
    <col min="5" max="5" width="66.7109375" style="22" customWidth="1"/>
    <col min="6" max="6" width="72.7109375" style="14" hidden="1" customWidth="1"/>
    <col min="7" max="7" width="16.85546875" style="14" bestFit="1" customWidth="1"/>
    <col min="8" max="8" width="18.42578125" style="14" bestFit="1" customWidth="1"/>
    <col min="9" max="9" width="23.42578125" style="14" bestFit="1" customWidth="1"/>
    <col min="10" max="10" width="63.5703125" style="22" hidden="1" customWidth="1"/>
    <col min="11" max="11" width="10.7109375" style="22" hidden="1" customWidth="1"/>
    <col min="12" max="12" width="16.85546875" style="22" hidden="1" customWidth="1"/>
    <col min="13" max="13" width="96.42578125" style="14" hidden="1" customWidth="1"/>
    <col min="14" max="36" width="12.7109375" style="14" hidden="1" customWidth="1"/>
    <col min="37" max="16384" width="9.140625" style="22"/>
  </cols>
  <sheetData>
    <row r="1" spans="1:36" ht="25.5" x14ac:dyDescent="0.25">
      <c r="B1" s="137" t="s">
        <v>136</v>
      </c>
      <c r="C1" s="138"/>
      <c r="D1" s="137"/>
      <c r="E1" s="137"/>
      <c r="F1" s="138"/>
      <c r="G1" s="138"/>
      <c r="H1" s="138"/>
      <c r="I1" s="138"/>
      <c r="J1" s="137"/>
      <c r="K1" s="137"/>
      <c r="L1" s="137"/>
    </row>
    <row r="2" spans="1:36" ht="16.5" customHeight="1" x14ac:dyDescent="0.25">
      <c r="A2" s="15" t="s">
        <v>302</v>
      </c>
      <c r="B2" s="139" t="s">
        <v>137</v>
      </c>
      <c r="C2" s="140"/>
      <c r="D2" s="139"/>
      <c r="E2" s="139"/>
      <c r="F2" s="140"/>
      <c r="G2" s="140"/>
      <c r="H2" s="140"/>
      <c r="I2" s="140"/>
      <c r="J2" s="139"/>
      <c r="K2" s="139"/>
      <c r="L2" s="139"/>
      <c r="M2" s="16" t="s">
        <v>33</v>
      </c>
      <c r="N2" s="135" t="s">
        <v>162</v>
      </c>
      <c r="O2" s="135"/>
      <c r="P2" s="136" t="s">
        <v>120</v>
      </c>
      <c r="Q2" s="136"/>
      <c r="R2" s="135" t="s">
        <v>119</v>
      </c>
      <c r="S2" s="135"/>
      <c r="T2" s="136" t="s">
        <v>127</v>
      </c>
      <c r="U2" s="136"/>
      <c r="V2" s="135" t="s">
        <v>121</v>
      </c>
      <c r="W2" s="135"/>
      <c r="X2" s="135"/>
      <c r="Y2" s="135"/>
      <c r="Z2" s="135" t="s">
        <v>198</v>
      </c>
      <c r="AA2" s="135"/>
      <c r="AB2" s="135"/>
      <c r="AC2" s="135"/>
      <c r="AD2" s="135" t="s">
        <v>199</v>
      </c>
      <c r="AE2" s="135"/>
      <c r="AF2" s="135" t="s">
        <v>206</v>
      </c>
      <c r="AG2" s="135"/>
      <c r="AH2" s="135"/>
      <c r="AI2" s="135"/>
      <c r="AJ2" s="135"/>
    </row>
    <row r="3" spans="1:36" ht="16.5" customHeight="1" x14ac:dyDescent="0.25">
      <c r="A3" s="15"/>
      <c r="B3" s="138" t="s">
        <v>344</v>
      </c>
      <c r="C3" s="139"/>
      <c r="D3" s="138"/>
      <c r="E3" s="138"/>
      <c r="F3" s="139"/>
      <c r="G3" s="138"/>
      <c r="H3" s="138"/>
      <c r="I3" s="138"/>
      <c r="J3" s="106"/>
      <c r="K3" s="106"/>
      <c r="L3" s="106"/>
      <c r="M3" s="16"/>
      <c r="N3" s="103"/>
      <c r="O3" s="103"/>
      <c r="P3" s="104"/>
      <c r="Q3" s="104"/>
      <c r="R3" s="103"/>
      <c r="S3" s="103"/>
      <c r="T3" s="104"/>
      <c r="U3" s="104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</row>
    <row r="4" spans="1:36" x14ac:dyDescent="0.25">
      <c r="A4" s="15"/>
      <c r="B4" s="27"/>
      <c r="C4" s="107"/>
      <c r="D4" s="27"/>
      <c r="E4" s="27"/>
      <c r="F4" s="107"/>
      <c r="G4" s="108"/>
      <c r="H4" s="108"/>
      <c r="I4" s="108"/>
      <c r="J4" s="27"/>
      <c r="K4" s="27"/>
      <c r="L4" s="27"/>
      <c r="M4" s="16"/>
      <c r="N4" s="103"/>
      <c r="O4" s="103"/>
      <c r="P4" s="104"/>
      <c r="Q4" s="104"/>
      <c r="R4" s="103"/>
      <c r="S4" s="103"/>
      <c r="T4" s="104"/>
      <c r="U4" s="104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</row>
    <row r="5" spans="1:36" ht="24" customHeight="1" x14ac:dyDescent="0.25">
      <c r="A5" s="15" t="s">
        <v>31</v>
      </c>
      <c r="B5" s="101" t="s">
        <v>123</v>
      </c>
      <c r="C5" s="15" t="s">
        <v>28</v>
      </c>
      <c r="D5" s="99" t="s">
        <v>0</v>
      </c>
      <c r="E5" s="99" t="s">
        <v>1</v>
      </c>
      <c r="F5" s="78" t="s">
        <v>32</v>
      </c>
      <c r="G5" s="101" t="s">
        <v>338</v>
      </c>
      <c r="H5" s="101" t="s">
        <v>339</v>
      </c>
      <c r="I5" s="101" t="s">
        <v>343</v>
      </c>
      <c r="J5" s="99" t="s">
        <v>2</v>
      </c>
      <c r="K5" s="100" t="s">
        <v>334</v>
      </c>
      <c r="L5" s="101" t="s">
        <v>23</v>
      </c>
      <c r="M5" s="16"/>
      <c r="N5" s="104" t="s">
        <v>122</v>
      </c>
      <c r="O5" s="104" t="s">
        <v>180</v>
      </c>
      <c r="P5" s="104" t="s">
        <v>122</v>
      </c>
      <c r="Q5" s="104" t="s">
        <v>124</v>
      </c>
      <c r="R5" s="103" t="s">
        <v>122</v>
      </c>
      <c r="S5" s="103" t="s">
        <v>123</v>
      </c>
      <c r="T5" s="104" t="s">
        <v>122</v>
      </c>
      <c r="U5" s="104" t="s">
        <v>28</v>
      </c>
      <c r="V5" s="104" t="s">
        <v>284</v>
      </c>
      <c r="W5" s="104" t="s">
        <v>285</v>
      </c>
      <c r="X5" s="104" t="s">
        <v>287</v>
      </c>
      <c r="Y5" s="103" t="s">
        <v>286</v>
      </c>
      <c r="Z5" s="103" t="s">
        <v>277</v>
      </c>
      <c r="AA5" s="103" t="s">
        <v>195</v>
      </c>
      <c r="AB5" s="103" t="s">
        <v>196</v>
      </c>
      <c r="AC5" s="103" t="s">
        <v>197</v>
      </c>
      <c r="AD5" s="103" t="s">
        <v>200</v>
      </c>
      <c r="AE5" s="103" t="s">
        <v>201</v>
      </c>
      <c r="AF5" s="103" t="s">
        <v>225</v>
      </c>
      <c r="AG5" s="103" t="s">
        <v>226</v>
      </c>
      <c r="AH5" s="103" t="s">
        <v>227</v>
      </c>
      <c r="AI5" s="103" t="s">
        <v>204</v>
      </c>
      <c r="AJ5" s="103" t="s">
        <v>205</v>
      </c>
    </row>
    <row r="6" spans="1:36" ht="14.45" customHeight="1" x14ac:dyDescent="0.25">
      <c r="A6" s="4">
        <v>1</v>
      </c>
      <c r="B6" s="94">
        <v>1</v>
      </c>
      <c r="C6" s="2" t="s">
        <v>29</v>
      </c>
      <c r="D6" s="83" t="s">
        <v>26</v>
      </c>
      <c r="E6" s="81" t="s">
        <v>3</v>
      </c>
      <c r="F6" s="1" t="s">
        <v>35</v>
      </c>
      <c r="G6" s="105" t="s">
        <v>131</v>
      </c>
      <c r="H6" s="105" t="s">
        <v>131</v>
      </c>
      <c r="I6" s="118" t="s">
        <v>131</v>
      </c>
      <c r="J6" s="81" t="s">
        <v>336</v>
      </c>
      <c r="K6" s="85">
        <v>30.6</v>
      </c>
      <c r="L6" s="86" t="s">
        <v>34</v>
      </c>
      <c r="M6" s="1" t="s">
        <v>36</v>
      </c>
      <c r="N6" s="11" t="s">
        <v>113</v>
      </c>
      <c r="O6" s="11" t="s">
        <v>163</v>
      </c>
      <c r="P6" s="11" t="s">
        <v>113</v>
      </c>
      <c r="Q6" s="11">
        <v>3</v>
      </c>
      <c r="R6" s="11" t="s">
        <v>112</v>
      </c>
      <c r="S6" s="11" t="s">
        <v>131</v>
      </c>
      <c r="T6" s="11" t="s">
        <v>113</v>
      </c>
      <c r="U6" s="11" t="s">
        <v>130</v>
      </c>
      <c r="V6" s="65">
        <v>11512.4607116809</v>
      </c>
      <c r="W6" s="65">
        <v>9218.6707087533905</v>
      </c>
      <c r="X6" s="11" t="s">
        <v>131</v>
      </c>
      <c r="Y6" s="11" t="s">
        <v>113</v>
      </c>
      <c r="Z6" s="11" t="s">
        <v>280</v>
      </c>
      <c r="AA6" s="11">
        <v>1</v>
      </c>
      <c r="AB6" s="11">
        <v>2</v>
      </c>
      <c r="AC6" s="11">
        <v>2</v>
      </c>
      <c r="AD6" s="11" t="s">
        <v>113</v>
      </c>
      <c r="AE6" s="11" t="s">
        <v>202</v>
      </c>
      <c r="AF6" s="11" t="s">
        <v>131</v>
      </c>
      <c r="AG6" s="11" t="s">
        <v>131</v>
      </c>
      <c r="AH6" s="11" t="s">
        <v>131</v>
      </c>
      <c r="AI6" s="11" t="s">
        <v>131</v>
      </c>
      <c r="AJ6" s="11" t="s">
        <v>131</v>
      </c>
    </row>
    <row r="7" spans="1:36" ht="14.45" customHeight="1" x14ac:dyDescent="0.25">
      <c r="A7" s="4">
        <v>2</v>
      </c>
      <c r="B7" s="95">
        <v>2</v>
      </c>
      <c r="C7" s="2" t="s">
        <v>30</v>
      </c>
      <c r="D7" s="82" t="s">
        <v>314</v>
      </c>
      <c r="E7" s="82" t="s">
        <v>181</v>
      </c>
      <c r="F7" s="4" t="s">
        <v>37</v>
      </c>
      <c r="G7" s="111" t="s">
        <v>131</v>
      </c>
      <c r="H7" s="111" t="s">
        <v>131</v>
      </c>
      <c r="I7" s="110" t="s">
        <v>131</v>
      </c>
      <c r="J7" s="82" t="s">
        <v>304</v>
      </c>
      <c r="K7" s="87">
        <v>23.1</v>
      </c>
      <c r="L7" s="88" t="s">
        <v>34</v>
      </c>
      <c r="M7" s="1"/>
      <c r="N7" s="11" t="s">
        <v>113</v>
      </c>
      <c r="O7" s="11" t="s">
        <v>305</v>
      </c>
      <c r="P7" s="11" t="s">
        <v>113</v>
      </c>
      <c r="Q7" s="11">
        <v>16</v>
      </c>
      <c r="R7" s="11" t="s">
        <v>113</v>
      </c>
      <c r="S7" s="11">
        <v>2065</v>
      </c>
      <c r="T7" s="11" t="s">
        <v>131</v>
      </c>
      <c r="U7" s="11" t="s">
        <v>131</v>
      </c>
      <c r="V7" s="65">
        <v>6790.01398859853</v>
      </c>
      <c r="W7" s="65">
        <v>4526.7809341091906</v>
      </c>
      <c r="X7" s="11" t="s">
        <v>131</v>
      </c>
      <c r="Y7" s="11" t="s">
        <v>113</v>
      </c>
      <c r="Z7" s="11" t="s">
        <v>279</v>
      </c>
      <c r="AA7" s="11">
        <v>4</v>
      </c>
      <c r="AB7" s="11">
        <v>3</v>
      </c>
      <c r="AC7" s="11">
        <v>5</v>
      </c>
      <c r="AD7" s="11" t="s">
        <v>131</v>
      </c>
      <c r="AE7" s="11" t="s">
        <v>131</v>
      </c>
      <c r="AF7" s="11" t="s">
        <v>112</v>
      </c>
      <c r="AG7" s="11" t="s">
        <v>112</v>
      </c>
      <c r="AH7" s="11" t="s">
        <v>131</v>
      </c>
      <c r="AI7" s="11" t="s">
        <v>112</v>
      </c>
      <c r="AJ7" s="11" t="s">
        <v>207</v>
      </c>
    </row>
    <row r="8" spans="1:36" ht="14.45" customHeight="1" x14ac:dyDescent="0.25">
      <c r="A8" s="4">
        <v>4</v>
      </c>
      <c r="B8" s="95">
        <v>3</v>
      </c>
      <c r="C8" s="2" t="s">
        <v>30</v>
      </c>
      <c r="D8" s="82" t="s">
        <v>6</v>
      </c>
      <c r="E8" s="82" t="s">
        <v>7</v>
      </c>
      <c r="F8" s="4" t="s">
        <v>43</v>
      </c>
      <c r="G8" s="111" t="s">
        <v>131</v>
      </c>
      <c r="H8" s="111" t="s">
        <v>131</v>
      </c>
      <c r="I8" s="110" t="s">
        <v>131</v>
      </c>
      <c r="J8" s="82" t="s">
        <v>44</v>
      </c>
      <c r="K8" s="87">
        <v>14.5</v>
      </c>
      <c r="L8" s="88" t="s">
        <v>34</v>
      </c>
      <c r="M8" s="1"/>
      <c r="N8" s="11" t="s">
        <v>113</v>
      </c>
      <c r="O8" s="11" t="s">
        <v>164</v>
      </c>
      <c r="P8" s="11" t="s">
        <v>113</v>
      </c>
      <c r="Q8" s="11">
        <v>41</v>
      </c>
      <c r="R8" s="11" t="s">
        <v>112</v>
      </c>
      <c r="S8" s="11" t="s">
        <v>131</v>
      </c>
      <c r="T8" s="11" t="s">
        <v>131</v>
      </c>
      <c r="U8" s="11" t="s">
        <v>131</v>
      </c>
      <c r="V8" s="11" t="s">
        <v>131</v>
      </c>
      <c r="W8" s="11" t="s">
        <v>131</v>
      </c>
      <c r="X8" s="11" t="s">
        <v>131</v>
      </c>
      <c r="Y8" s="11" t="s">
        <v>131</v>
      </c>
      <c r="Z8" s="11" t="s">
        <v>281</v>
      </c>
      <c r="AA8" s="11">
        <v>3</v>
      </c>
      <c r="AB8" s="11">
        <v>4</v>
      </c>
      <c r="AC8" s="11">
        <v>3</v>
      </c>
      <c r="AD8" s="11" t="s">
        <v>131</v>
      </c>
      <c r="AE8" s="11" t="s">
        <v>131</v>
      </c>
      <c r="AF8" s="11" t="s">
        <v>112</v>
      </c>
      <c r="AG8" s="11" t="s">
        <v>112</v>
      </c>
      <c r="AH8" s="11" t="s">
        <v>131</v>
      </c>
      <c r="AI8" s="11" t="s">
        <v>113</v>
      </c>
      <c r="AJ8" s="11" t="s">
        <v>112</v>
      </c>
    </row>
    <row r="9" spans="1:36" ht="14.45" customHeight="1" x14ac:dyDescent="0.25">
      <c r="A9" s="4">
        <v>6</v>
      </c>
      <c r="B9" s="127">
        <v>4</v>
      </c>
      <c r="C9" s="2" t="s">
        <v>29</v>
      </c>
      <c r="D9" s="128" t="s">
        <v>47</v>
      </c>
      <c r="E9" s="128" t="s">
        <v>38</v>
      </c>
      <c r="F9" s="1" t="s">
        <v>39</v>
      </c>
      <c r="G9" s="129">
        <v>1</v>
      </c>
      <c r="H9" s="129">
        <v>1</v>
      </c>
      <c r="I9" s="130" t="s">
        <v>340</v>
      </c>
      <c r="J9" s="82" t="s">
        <v>48</v>
      </c>
      <c r="K9" s="87">
        <v>5.9</v>
      </c>
      <c r="L9" s="88" t="s">
        <v>34</v>
      </c>
      <c r="M9" s="1"/>
      <c r="N9" s="11" t="s">
        <v>111</v>
      </c>
      <c r="O9" s="11" t="s">
        <v>163</v>
      </c>
      <c r="P9" s="11" t="s">
        <v>111</v>
      </c>
      <c r="Q9" s="11">
        <v>4</v>
      </c>
      <c r="R9" s="11" t="s">
        <v>112</v>
      </c>
      <c r="S9" s="11" t="s">
        <v>131</v>
      </c>
      <c r="T9" s="11" t="s">
        <v>111</v>
      </c>
      <c r="U9" s="11" t="s">
        <v>129</v>
      </c>
      <c r="V9" s="65">
        <v>21092.114120151899</v>
      </c>
      <c r="W9" s="65">
        <v>11786.093532493525</v>
      </c>
      <c r="X9" s="11" t="s">
        <v>131</v>
      </c>
      <c r="Y9" s="11" t="s">
        <v>112</v>
      </c>
      <c r="Z9" s="11" t="s">
        <v>282</v>
      </c>
      <c r="AA9" s="11">
        <v>2</v>
      </c>
      <c r="AB9" s="11">
        <v>1</v>
      </c>
      <c r="AC9" s="11">
        <v>4</v>
      </c>
      <c r="AD9" s="11" t="s">
        <v>112</v>
      </c>
      <c r="AE9" s="11" t="s">
        <v>131</v>
      </c>
      <c r="AF9" s="11" t="s">
        <v>131</v>
      </c>
      <c r="AG9" s="11" t="s">
        <v>131</v>
      </c>
      <c r="AH9" s="11" t="s">
        <v>131</v>
      </c>
      <c r="AI9" s="11" t="s">
        <v>131</v>
      </c>
      <c r="AJ9" s="11" t="s">
        <v>131</v>
      </c>
    </row>
    <row r="10" spans="1:36" ht="14.45" customHeight="1" x14ac:dyDescent="0.25">
      <c r="A10" s="4" t="s">
        <v>92</v>
      </c>
      <c r="B10" s="95">
        <v>-1</v>
      </c>
      <c r="C10" s="4" t="s">
        <v>29</v>
      </c>
      <c r="D10" s="82" t="s">
        <v>96</v>
      </c>
      <c r="E10" s="82" t="s">
        <v>97</v>
      </c>
      <c r="F10" s="4" t="s">
        <v>98</v>
      </c>
      <c r="G10" s="111" t="s">
        <v>131</v>
      </c>
      <c r="H10" s="111" t="s">
        <v>131</v>
      </c>
      <c r="I10" s="110" t="s">
        <v>131</v>
      </c>
      <c r="J10" s="82" t="s">
        <v>99</v>
      </c>
      <c r="K10" s="87">
        <v>5.7</v>
      </c>
      <c r="L10" s="89" t="s">
        <v>34</v>
      </c>
      <c r="M10" s="1"/>
      <c r="N10" s="20" t="s">
        <v>112</v>
      </c>
      <c r="O10" s="20" t="s">
        <v>131</v>
      </c>
      <c r="P10" s="20" t="s">
        <v>113</v>
      </c>
      <c r="Q10" s="20">
        <v>40</v>
      </c>
      <c r="R10" s="20" t="s">
        <v>112</v>
      </c>
      <c r="S10" s="20" t="s">
        <v>131</v>
      </c>
      <c r="T10" s="20" t="s">
        <v>112</v>
      </c>
      <c r="U10" s="20" t="s">
        <v>131</v>
      </c>
      <c r="V10" s="70" t="s">
        <v>92</v>
      </c>
      <c r="W10" s="70" t="s">
        <v>92</v>
      </c>
      <c r="X10" s="20" t="s">
        <v>92</v>
      </c>
      <c r="Y10" s="20" t="s">
        <v>92</v>
      </c>
      <c r="Z10" s="20" t="s">
        <v>280</v>
      </c>
      <c r="AA10" s="20">
        <v>1</v>
      </c>
      <c r="AB10" s="20">
        <v>2</v>
      </c>
      <c r="AC10" s="20">
        <v>2</v>
      </c>
      <c r="AD10" s="20" t="s">
        <v>112</v>
      </c>
      <c r="AE10" s="20" t="s">
        <v>131</v>
      </c>
      <c r="AF10" s="20" t="s">
        <v>131</v>
      </c>
      <c r="AG10" s="20" t="s">
        <v>131</v>
      </c>
      <c r="AH10" s="20" t="s">
        <v>131</v>
      </c>
      <c r="AI10" s="20" t="s">
        <v>131</v>
      </c>
      <c r="AJ10" s="20" t="s">
        <v>131</v>
      </c>
    </row>
    <row r="11" spans="1:36" ht="14.45" customHeight="1" x14ac:dyDescent="0.25">
      <c r="A11" s="4">
        <v>7</v>
      </c>
      <c r="B11" s="127">
        <v>5</v>
      </c>
      <c r="C11" s="2" t="s">
        <v>29</v>
      </c>
      <c r="D11" s="128" t="s">
        <v>49</v>
      </c>
      <c r="E11" s="128" t="s">
        <v>38</v>
      </c>
      <c r="F11" s="1" t="s">
        <v>39</v>
      </c>
      <c r="G11" s="129" t="s">
        <v>131</v>
      </c>
      <c r="H11" s="129">
        <v>1</v>
      </c>
      <c r="I11" s="130" t="s">
        <v>341</v>
      </c>
      <c r="J11" s="82" t="s">
        <v>50</v>
      </c>
      <c r="K11" s="87">
        <v>3.7</v>
      </c>
      <c r="L11" s="88" t="s">
        <v>34</v>
      </c>
      <c r="M11" s="1"/>
      <c r="N11" s="11" t="s">
        <v>111</v>
      </c>
      <c r="O11" s="11" t="s">
        <v>163</v>
      </c>
      <c r="P11" s="11" t="s">
        <v>111</v>
      </c>
      <c r="Q11" s="11">
        <v>7</v>
      </c>
      <c r="R11" s="11" t="s">
        <v>112</v>
      </c>
      <c r="S11" s="11" t="s">
        <v>131</v>
      </c>
      <c r="T11" s="11" t="s">
        <v>113</v>
      </c>
      <c r="U11" s="11" t="s">
        <v>129</v>
      </c>
      <c r="V11" s="65">
        <v>52317.338849107</v>
      </c>
      <c r="W11" s="65">
        <v>35357.460441668838</v>
      </c>
      <c r="X11" s="11" t="s">
        <v>131</v>
      </c>
      <c r="Y11" s="11" t="s">
        <v>112</v>
      </c>
      <c r="Z11" s="11" t="s">
        <v>282</v>
      </c>
      <c r="AA11" s="11">
        <v>2</v>
      </c>
      <c r="AB11" s="11">
        <v>1</v>
      </c>
      <c r="AC11" s="11">
        <v>4</v>
      </c>
      <c r="AD11" s="11" t="s">
        <v>113</v>
      </c>
      <c r="AE11" s="11" t="s">
        <v>203</v>
      </c>
      <c r="AF11" s="11" t="s">
        <v>131</v>
      </c>
      <c r="AG11" s="11" t="s">
        <v>131</v>
      </c>
      <c r="AH11" s="11" t="s">
        <v>131</v>
      </c>
      <c r="AI11" s="11" t="s">
        <v>131</v>
      </c>
      <c r="AJ11" s="11" t="s">
        <v>131</v>
      </c>
    </row>
    <row r="12" spans="1:36" ht="14.45" customHeight="1" x14ac:dyDescent="0.25">
      <c r="A12" s="4" t="s">
        <v>92</v>
      </c>
      <c r="B12" s="95">
        <v>-2</v>
      </c>
      <c r="C12" s="4" t="s">
        <v>30</v>
      </c>
      <c r="D12" s="82" t="s">
        <v>100</v>
      </c>
      <c r="E12" s="82" t="s">
        <v>101</v>
      </c>
      <c r="F12" s="4" t="s">
        <v>94</v>
      </c>
      <c r="G12" s="111" t="s">
        <v>131</v>
      </c>
      <c r="H12" s="111" t="s">
        <v>131</v>
      </c>
      <c r="I12" s="110" t="s">
        <v>131</v>
      </c>
      <c r="J12" s="82" t="s">
        <v>99</v>
      </c>
      <c r="K12" s="87">
        <v>1.5</v>
      </c>
      <c r="L12" s="89" t="s">
        <v>34</v>
      </c>
      <c r="M12" s="5"/>
      <c r="N12" s="20" t="s">
        <v>112</v>
      </c>
      <c r="O12" s="20" t="s">
        <v>131</v>
      </c>
      <c r="P12" s="20" t="s">
        <v>112</v>
      </c>
      <c r="Q12" s="20" t="s">
        <v>131</v>
      </c>
      <c r="R12" s="20" t="s">
        <v>112</v>
      </c>
      <c r="S12" s="20" t="s">
        <v>131</v>
      </c>
      <c r="T12" s="20" t="s">
        <v>131</v>
      </c>
      <c r="U12" s="20" t="s">
        <v>131</v>
      </c>
      <c r="V12" s="70" t="s">
        <v>92</v>
      </c>
      <c r="W12" s="70" t="s">
        <v>92</v>
      </c>
      <c r="X12" s="20" t="s">
        <v>92</v>
      </c>
      <c r="Y12" s="20" t="s">
        <v>92</v>
      </c>
      <c r="Z12" s="20" t="s">
        <v>279</v>
      </c>
      <c r="AA12" s="20">
        <v>4</v>
      </c>
      <c r="AB12" s="20">
        <v>3</v>
      </c>
      <c r="AC12" s="20">
        <v>5</v>
      </c>
      <c r="AD12" s="20" t="s">
        <v>131</v>
      </c>
      <c r="AE12" s="20" t="s">
        <v>131</v>
      </c>
      <c r="AF12" s="20" t="s">
        <v>112</v>
      </c>
      <c r="AG12" s="20" t="s">
        <v>112</v>
      </c>
      <c r="AH12" s="20" t="s">
        <v>131</v>
      </c>
      <c r="AI12" s="20" t="s">
        <v>113</v>
      </c>
      <c r="AJ12" s="20" t="s">
        <v>112</v>
      </c>
    </row>
    <row r="13" spans="1:36" ht="14.45" customHeight="1" x14ac:dyDescent="0.25">
      <c r="A13" s="4" t="s">
        <v>92</v>
      </c>
      <c r="B13" s="95">
        <v>-3</v>
      </c>
      <c r="C13" s="4" t="s">
        <v>30</v>
      </c>
      <c r="D13" s="82" t="s">
        <v>102</v>
      </c>
      <c r="E13" s="82" t="s">
        <v>93</v>
      </c>
      <c r="F13" s="4" t="s">
        <v>94</v>
      </c>
      <c r="G13" s="111" t="s">
        <v>131</v>
      </c>
      <c r="H13" s="111" t="s">
        <v>131</v>
      </c>
      <c r="I13" s="110" t="s">
        <v>131</v>
      </c>
      <c r="J13" s="82" t="s">
        <v>103</v>
      </c>
      <c r="K13" s="87">
        <v>1.1000000000000001</v>
      </c>
      <c r="L13" s="89" t="s">
        <v>34</v>
      </c>
      <c r="M13" s="5"/>
      <c r="N13" s="20" t="s">
        <v>112</v>
      </c>
      <c r="O13" s="20" t="s">
        <v>131</v>
      </c>
      <c r="P13" s="20" t="s">
        <v>112</v>
      </c>
      <c r="Q13" s="20" t="s">
        <v>131</v>
      </c>
      <c r="R13" s="20" t="s">
        <v>112</v>
      </c>
      <c r="S13" s="20" t="s">
        <v>131</v>
      </c>
      <c r="T13" s="20" t="s">
        <v>131</v>
      </c>
      <c r="U13" s="20" t="s">
        <v>131</v>
      </c>
      <c r="V13" s="70" t="s">
        <v>92</v>
      </c>
      <c r="W13" s="70" t="s">
        <v>92</v>
      </c>
      <c r="X13" s="20" t="s">
        <v>92</v>
      </c>
      <c r="Y13" s="20" t="s">
        <v>92</v>
      </c>
      <c r="Z13" s="20" t="s">
        <v>279</v>
      </c>
      <c r="AA13" s="20">
        <v>4</v>
      </c>
      <c r="AB13" s="20">
        <v>3</v>
      </c>
      <c r="AC13" s="20">
        <v>5</v>
      </c>
      <c r="AD13" s="20" t="s">
        <v>131</v>
      </c>
      <c r="AE13" s="20" t="s">
        <v>131</v>
      </c>
      <c r="AF13" s="20" t="s">
        <v>112</v>
      </c>
      <c r="AG13" s="20" t="s">
        <v>112</v>
      </c>
      <c r="AH13" s="20" t="s">
        <v>131</v>
      </c>
      <c r="AI13" s="20" t="s">
        <v>113</v>
      </c>
      <c r="AJ13" s="20" t="s">
        <v>112</v>
      </c>
    </row>
    <row r="14" spans="1:36" ht="14.45" customHeight="1" x14ac:dyDescent="0.25">
      <c r="A14" s="4">
        <v>9</v>
      </c>
      <c r="B14" s="95">
        <v>6</v>
      </c>
      <c r="C14" s="4" t="s">
        <v>30</v>
      </c>
      <c r="D14" s="82" t="s">
        <v>6</v>
      </c>
      <c r="E14" s="82" t="s">
        <v>7</v>
      </c>
      <c r="F14" s="4" t="s">
        <v>43</v>
      </c>
      <c r="G14" s="111" t="s">
        <v>131</v>
      </c>
      <c r="H14" s="111" t="s">
        <v>131</v>
      </c>
      <c r="I14" s="110" t="s">
        <v>131</v>
      </c>
      <c r="J14" s="82" t="s">
        <v>53</v>
      </c>
      <c r="K14" s="87">
        <v>0.5</v>
      </c>
      <c r="L14" s="89" t="s">
        <v>34</v>
      </c>
      <c r="M14" s="5"/>
      <c r="N14" s="20" t="s">
        <v>112</v>
      </c>
      <c r="O14" s="20" t="s">
        <v>131</v>
      </c>
      <c r="P14" s="20" t="s">
        <v>112</v>
      </c>
      <c r="Q14" s="20" t="s">
        <v>131</v>
      </c>
      <c r="R14" s="20" t="s">
        <v>112</v>
      </c>
      <c r="S14" s="20" t="s">
        <v>131</v>
      </c>
      <c r="T14" s="20" t="s">
        <v>131</v>
      </c>
      <c r="U14" s="20" t="s">
        <v>131</v>
      </c>
      <c r="V14" s="66">
        <v>1179.37295441474</v>
      </c>
      <c r="W14" s="66">
        <v>713.65860713832092</v>
      </c>
      <c r="X14" s="20" t="s">
        <v>131</v>
      </c>
      <c r="Y14" s="20" t="s">
        <v>112</v>
      </c>
      <c r="Z14" s="20" t="s">
        <v>281</v>
      </c>
      <c r="AA14" s="20">
        <v>3</v>
      </c>
      <c r="AB14" s="20">
        <v>4</v>
      </c>
      <c r="AC14" s="20">
        <v>3</v>
      </c>
      <c r="AD14" s="20" t="s">
        <v>131</v>
      </c>
      <c r="AE14" s="20" t="s">
        <v>131</v>
      </c>
      <c r="AF14" s="20" t="s">
        <v>112</v>
      </c>
      <c r="AG14" s="20" t="s">
        <v>112</v>
      </c>
      <c r="AH14" s="20" t="s">
        <v>131</v>
      </c>
      <c r="AI14" s="20" t="s">
        <v>113</v>
      </c>
      <c r="AJ14" s="20" t="s">
        <v>112</v>
      </c>
    </row>
    <row r="15" spans="1:36" ht="14.45" customHeight="1" x14ac:dyDescent="0.25">
      <c r="A15" s="4">
        <v>3</v>
      </c>
      <c r="B15" s="95">
        <v>7</v>
      </c>
      <c r="C15" s="2" t="s">
        <v>29</v>
      </c>
      <c r="D15" s="84" t="s">
        <v>24</v>
      </c>
      <c r="E15" s="82" t="s">
        <v>38</v>
      </c>
      <c r="F15" s="1" t="s">
        <v>39</v>
      </c>
      <c r="G15" s="112" t="s">
        <v>131</v>
      </c>
      <c r="H15" s="112" t="s">
        <v>131</v>
      </c>
      <c r="I15" s="119"/>
      <c r="J15" s="82" t="s">
        <v>40</v>
      </c>
      <c r="K15" s="87">
        <f>22.5+116.2</f>
        <v>138.69999999999999</v>
      </c>
      <c r="L15" s="88" t="s">
        <v>41</v>
      </c>
      <c r="M15" s="1" t="s">
        <v>42</v>
      </c>
      <c r="N15" s="11" t="s">
        <v>111</v>
      </c>
      <c r="O15" s="11" t="s">
        <v>163</v>
      </c>
      <c r="P15" s="11" t="s">
        <v>113</v>
      </c>
      <c r="Q15" s="11">
        <v>5</v>
      </c>
      <c r="R15" s="11" t="s">
        <v>112</v>
      </c>
      <c r="S15" s="11" t="s">
        <v>131</v>
      </c>
      <c r="T15" s="11" t="s">
        <v>113</v>
      </c>
      <c r="U15" s="11" t="s">
        <v>129</v>
      </c>
      <c r="V15" s="65">
        <v>94558.355622085597</v>
      </c>
      <c r="W15" s="65">
        <v>84024.517176229172</v>
      </c>
      <c r="X15" s="11" t="s">
        <v>131</v>
      </c>
      <c r="Y15" s="11" t="s">
        <v>112</v>
      </c>
      <c r="Z15" s="11" t="s">
        <v>282</v>
      </c>
      <c r="AA15" s="11">
        <v>2</v>
      </c>
      <c r="AB15" s="11">
        <v>1</v>
      </c>
      <c r="AC15" s="11">
        <v>4</v>
      </c>
      <c r="AD15" s="11" t="s">
        <v>113</v>
      </c>
      <c r="AE15" s="11" t="s">
        <v>240</v>
      </c>
      <c r="AF15" s="11" t="s">
        <v>131</v>
      </c>
      <c r="AG15" s="11" t="s">
        <v>131</v>
      </c>
      <c r="AH15" s="11" t="s">
        <v>131</v>
      </c>
      <c r="AI15" s="11" t="s">
        <v>131</v>
      </c>
      <c r="AJ15" s="11" t="s">
        <v>131</v>
      </c>
    </row>
    <row r="16" spans="1:36" ht="14.45" customHeight="1" x14ac:dyDescent="0.25">
      <c r="A16" s="4">
        <v>5</v>
      </c>
      <c r="B16" s="127">
        <v>8</v>
      </c>
      <c r="C16" s="2" t="s">
        <v>29</v>
      </c>
      <c r="D16" s="131" t="s">
        <v>25</v>
      </c>
      <c r="E16" s="128" t="s">
        <v>38</v>
      </c>
      <c r="F16" s="1" t="s">
        <v>39</v>
      </c>
      <c r="G16" s="129">
        <v>1</v>
      </c>
      <c r="H16" s="129" t="s">
        <v>131</v>
      </c>
      <c r="I16" s="130" t="s">
        <v>342</v>
      </c>
      <c r="J16" s="82" t="s">
        <v>45</v>
      </c>
      <c r="K16" s="87">
        <f>13.8+71.5</f>
        <v>85.3</v>
      </c>
      <c r="L16" s="88" t="s">
        <v>41</v>
      </c>
      <c r="M16" s="1" t="s">
        <v>46</v>
      </c>
      <c r="N16" s="11" t="s">
        <v>111</v>
      </c>
      <c r="O16" s="11" t="s">
        <v>163</v>
      </c>
      <c r="P16" s="11" t="s">
        <v>111</v>
      </c>
      <c r="Q16" s="11">
        <v>8</v>
      </c>
      <c r="R16" s="11" t="s">
        <v>112</v>
      </c>
      <c r="S16" s="11" t="s">
        <v>131</v>
      </c>
      <c r="T16" s="11" t="s">
        <v>113</v>
      </c>
      <c r="U16" s="11" t="s">
        <v>129</v>
      </c>
      <c r="V16" s="65">
        <v>99872.061928262599</v>
      </c>
      <c r="W16" s="65">
        <v>86757.946122702589</v>
      </c>
      <c r="X16" s="11" t="s">
        <v>131</v>
      </c>
      <c r="Y16" s="11" t="s">
        <v>112</v>
      </c>
      <c r="Z16" s="11" t="s">
        <v>282</v>
      </c>
      <c r="AA16" s="11">
        <v>2</v>
      </c>
      <c r="AB16" s="11">
        <v>1</v>
      </c>
      <c r="AC16" s="11">
        <v>4</v>
      </c>
      <c r="AD16" s="11" t="s">
        <v>113</v>
      </c>
      <c r="AE16" s="11" t="s">
        <v>240</v>
      </c>
      <c r="AF16" s="11" t="s">
        <v>131</v>
      </c>
      <c r="AG16" s="11" t="s">
        <v>131</v>
      </c>
      <c r="AH16" s="11" t="s">
        <v>131</v>
      </c>
      <c r="AI16" s="11" t="s">
        <v>131</v>
      </c>
      <c r="AJ16" s="11" t="s">
        <v>131</v>
      </c>
    </row>
    <row r="17" spans="1:36" ht="14.45" customHeight="1" x14ac:dyDescent="0.25">
      <c r="A17" s="14" t="s">
        <v>92</v>
      </c>
      <c r="B17" s="95">
        <v>-4</v>
      </c>
      <c r="C17" s="2" t="s">
        <v>30</v>
      </c>
      <c r="D17" s="82" t="s">
        <v>114</v>
      </c>
      <c r="E17" s="82" t="s">
        <v>115</v>
      </c>
      <c r="F17" s="4" t="s">
        <v>94</v>
      </c>
      <c r="G17" s="111" t="s">
        <v>131</v>
      </c>
      <c r="H17" s="111" t="s">
        <v>131</v>
      </c>
      <c r="I17" s="110" t="s">
        <v>131</v>
      </c>
      <c r="J17" s="82" t="s">
        <v>104</v>
      </c>
      <c r="K17" s="90">
        <f>2.9+3.1</f>
        <v>6</v>
      </c>
      <c r="L17" s="89" t="s">
        <v>41</v>
      </c>
      <c r="N17" s="11" t="s">
        <v>113</v>
      </c>
      <c r="O17" s="11" t="s">
        <v>165</v>
      </c>
      <c r="P17" s="11" t="s">
        <v>113</v>
      </c>
      <c r="Q17" s="11" t="s">
        <v>131</v>
      </c>
      <c r="R17" s="11" t="s">
        <v>113</v>
      </c>
      <c r="S17" s="11">
        <v>2010</v>
      </c>
      <c r="T17" s="11" t="s">
        <v>131</v>
      </c>
      <c r="U17" s="11" t="s">
        <v>131</v>
      </c>
      <c r="V17" s="13" t="s">
        <v>92</v>
      </c>
      <c r="W17" s="13" t="s">
        <v>92</v>
      </c>
      <c r="X17" s="11" t="s">
        <v>92</v>
      </c>
      <c r="Y17" s="11" t="s">
        <v>92</v>
      </c>
      <c r="Z17" s="11" t="s">
        <v>279</v>
      </c>
      <c r="AA17" s="11">
        <v>4</v>
      </c>
      <c r="AB17" s="11">
        <v>3</v>
      </c>
      <c r="AC17" s="11">
        <v>5</v>
      </c>
      <c r="AD17" s="11" t="s">
        <v>131</v>
      </c>
      <c r="AE17" s="11" t="s">
        <v>131</v>
      </c>
      <c r="AF17" s="11" t="s">
        <v>112</v>
      </c>
      <c r="AG17" s="11" t="s">
        <v>112</v>
      </c>
      <c r="AH17" s="11" t="s">
        <v>131</v>
      </c>
      <c r="AI17" s="11" t="s">
        <v>113</v>
      </c>
      <c r="AJ17" s="11" t="s">
        <v>112</v>
      </c>
    </row>
    <row r="18" spans="1:36" ht="14.45" customHeight="1" x14ac:dyDescent="0.25">
      <c r="A18" s="14" t="s">
        <v>92</v>
      </c>
      <c r="B18" s="95">
        <v>-5</v>
      </c>
      <c r="C18" s="2" t="s">
        <v>30</v>
      </c>
      <c r="D18" s="82" t="s">
        <v>114</v>
      </c>
      <c r="E18" s="82" t="s">
        <v>115</v>
      </c>
      <c r="F18" s="4" t="s">
        <v>94</v>
      </c>
      <c r="G18" s="111" t="s">
        <v>131</v>
      </c>
      <c r="H18" s="111" t="s">
        <v>131</v>
      </c>
      <c r="I18" s="110" t="s">
        <v>131</v>
      </c>
      <c r="J18" s="82" t="s">
        <v>106</v>
      </c>
      <c r="K18" s="90">
        <f>2.9+3.1</f>
        <v>6</v>
      </c>
      <c r="L18" s="89" t="s">
        <v>41</v>
      </c>
      <c r="N18" s="11" t="s">
        <v>113</v>
      </c>
      <c r="O18" s="11" t="s">
        <v>165</v>
      </c>
      <c r="P18" s="11" t="s">
        <v>113</v>
      </c>
      <c r="Q18" s="11" t="s">
        <v>131</v>
      </c>
      <c r="R18" s="11" t="s">
        <v>113</v>
      </c>
      <c r="S18" s="11">
        <v>2010</v>
      </c>
      <c r="T18" s="11" t="s">
        <v>131</v>
      </c>
      <c r="U18" s="11" t="s">
        <v>131</v>
      </c>
      <c r="V18" s="13" t="s">
        <v>92</v>
      </c>
      <c r="W18" s="13" t="s">
        <v>92</v>
      </c>
      <c r="X18" s="11" t="s">
        <v>92</v>
      </c>
      <c r="Y18" s="11" t="s">
        <v>92</v>
      </c>
      <c r="Z18" s="11" t="s">
        <v>279</v>
      </c>
      <c r="AA18" s="11">
        <v>4</v>
      </c>
      <c r="AB18" s="11">
        <v>3</v>
      </c>
      <c r="AC18" s="11">
        <v>5</v>
      </c>
      <c r="AD18" s="11" t="s">
        <v>131</v>
      </c>
      <c r="AE18" s="11" t="s">
        <v>131</v>
      </c>
      <c r="AF18" s="11" t="s">
        <v>112</v>
      </c>
      <c r="AG18" s="11" t="s">
        <v>112</v>
      </c>
      <c r="AH18" s="11" t="s">
        <v>131</v>
      </c>
      <c r="AI18" s="11" t="s">
        <v>113</v>
      </c>
      <c r="AJ18" s="11" t="s">
        <v>112</v>
      </c>
    </row>
    <row r="19" spans="1:36" ht="14.45" customHeight="1" x14ac:dyDescent="0.25">
      <c r="A19" s="14" t="s">
        <v>92</v>
      </c>
      <c r="B19" s="95">
        <v>-6</v>
      </c>
      <c r="C19" s="2" t="s">
        <v>30</v>
      </c>
      <c r="D19" s="82" t="s">
        <v>114</v>
      </c>
      <c r="E19" s="82" t="s">
        <v>115</v>
      </c>
      <c r="F19" s="4" t="s">
        <v>94</v>
      </c>
      <c r="G19" s="111" t="s">
        <v>131</v>
      </c>
      <c r="H19" s="111" t="s">
        <v>131</v>
      </c>
      <c r="I19" s="110" t="s">
        <v>131</v>
      </c>
      <c r="J19" s="82" t="s">
        <v>105</v>
      </c>
      <c r="K19" s="90">
        <f>2.9+3.1</f>
        <v>6</v>
      </c>
      <c r="L19" s="89" t="s">
        <v>41</v>
      </c>
      <c r="N19" s="11" t="s">
        <v>113</v>
      </c>
      <c r="O19" s="11" t="s">
        <v>165</v>
      </c>
      <c r="P19" s="11" t="s">
        <v>113</v>
      </c>
      <c r="Q19" s="11" t="s">
        <v>131</v>
      </c>
      <c r="R19" s="11" t="s">
        <v>113</v>
      </c>
      <c r="S19" s="11">
        <v>2010</v>
      </c>
      <c r="T19" s="11" t="s">
        <v>131</v>
      </c>
      <c r="U19" s="11" t="s">
        <v>131</v>
      </c>
      <c r="V19" s="13" t="s">
        <v>92</v>
      </c>
      <c r="W19" s="13" t="s">
        <v>92</v>
      </c>
      <c r="X19" s="11" t="s">
        <v>92</v>
      </c>
      <c r="Y19" s="11" t="s">
        <v>92</v>
      </c>
      <c r="Z19" s="11" t="s">
        <v>279</v>
      </c>
      <c r="AA19" s="11">
        <v>4</v>
      </c>
      <c r="AB19" s="11">
        <v>3</v>
      </c>
      <c r="AC19" s="11">
        <v>5</v>
      </c>
      <c r="AD19" s="11" t="s">
        <v>131</v>
      </c>
      <c r="AE19" s="11" t="s">
        <v>131</v>
      </c>
      <c r="AF19" s="11" t="s">
        <v>112</v>
      </c>
      <c r="AG19" s="11" t="s">
        <v>112</v>
      </c>
      <c r="AH19" s="11" t="s">
        <v>131</v>
      </c>
      <c r="AI19" s="11" t="s">
        <v>113</v>
      </c>
      <c r="AJ19" s="11" t="s">
        <v>112</v>
      </c>
    </row>
    <row r="20" spans="1:36" ht="14.45" customHeight="1" x14ac:dyDescent="0.25">
      <c r="A20" s="14" t="s">
        <v>92</v>
      </c>
      <c r="B20" s="95">
        <v>-7</v>
      </c>
      <c r="C20" s="2" t="s">
        <v>30</v>
      </c>
      <c r="D20" s="82" t="s">
        <v>114</v>
      </c>
      <c r="E20" s="82" t="s">
        <v>115</v>
      </c>
      <c r="F20" s="4" t="s">
        <v>94</v>
      </c>
      <c r="G20" s="111" t="s">
        <v>131</v>
      </c>
      <c r="H20" s="111" t="s">
        <v>131</v>
      </c>
      <c r="I20" s="110" t="s">
        <v>131</v>
      </c>
      <c r="J20" s="82" t="s">
        <v>95</v>
      </c>
      <c r="K20" s="90">
        <f>2.9+3.1</f>
        <v>6</v>
      </c>
      <c r="L20" s="89" t="s">
        <v>41</v>
      </c>
      <c r="N20" s="11" t="s">
        <v>113</v>
      </c>
      <c r="O20" s="11" t="s">
        <v>165</v>
      </c>
      <c r="P20" s="11" t="s">
        <v>113</v>
      </c>
      <c r="Q20" s="11" t="s">
        <v>131</v>
      </c>
      <c r="R20" s="11" t="s">
        <v>113</v>
      </c>
      <c r="S20" s="11">
        <v>2010</v>
      </c>
      <c r="T20" s="11" t="s">
        <v>131</v>
      </c>
      <c r="U20" s="11" t="s">
        <v>131</v>
      </c>
      <c r="V20" s="13" t="s">
        <v>92</v>
      </c>
      <c r="W20" s="13" t="s">
        <v>92</v>
      </c>
      <c r="X20" s="11" t="s">
        <v>92</v>
      </c>
      <c r="Y20" s="11" t="s">
        <v>92</v>
      </c>
      <c r="Z20" s="11" t="s">
        <v>279</v>
      </c>
      <c r="AA20" s="11">
        <v>4</v>
      </c>
      <c r="AB20" s="11">
        <v>3</v>
      </c>
      <c r="AC20" s="11">
        <v>5</v>
      </c>
      <c r="AD20" s="11" t="s">
        <v>131</v>
      </c>
      <c r="AE20" s="11" t="s">
        <v>131</v>
      </c>
      <c r="AF20" s="11" t="s">
        <v>112</v>
      </c>
      <c r="AG20" s="11" t="s">
        <v>112</v>
      </c>
      <c r="AH20" s="11" t="s">
        <v>131</v>
      </c>
      <c r="AI20" s="11" t="s">
        <v>113</v>
      </c>
      <c r="AJ20" s="11" t="s">
        <v>112</v>
      </c>
    </row>
    <row r="21" spans="1:36" ht="14.45" customHeight="1" x14ac:dyDescent="0.25">
      <c r="A21" s="7">
        <v>8</v>
      </c>
      <c r="B21" s="127">
        <v>9</v>
      </c>
      <c r="C21" s="4" t="s">
        <v>29</v>
      </c>
      <c r="D21" s="128" t="s">
        <v>51</v>
      </c>
      <c r="E21" s="128" t="s">
        <v>38</v>
      </c>
      <c r="F21" s="5" t="s">
        <v>39</v>
      </c>
      <c r="G21" s="129">
        <v>1</v>
      </c>
      <c r="H21" s="129" t="s">
        <v>131</v>
      </c>
      <c r="I21" s="130" t="s">
        <v>342</v>
      </c>
      <c r="J21" s="82" t="s">
        <v>52</v>
      </c>
      <c r="K21" s="87">
        <f>0.9+4.9</f>
        <v>5.8000000000000007</v>
      </c>
      <c r="L21" s="89" t="s">
        <v>41</v>
      </c>
      <c r="M21" s="1"/>
      <c r="N21" s="20" t="s">
        <v>111</v>
      </c>
      <c r="O21" s="20" t="s">
        <v>166</v>
      </c>
      <c r="P21" s="20" t="s">
        <v>111</v>
      </c>
      <c r="Q21" s="20">
        <v>15</v>
      </c>
      <c r="R21" s="20" t="s">
        <v>112</v>
      </c>
      <c r="S21" s="20" t="s">
        <v>131</v>
      </c>
      <c r="T21" s="20" t="s">
        <v>113</v>
      </c>
      <c r="U21" s="20" t="s">
        <v>129</v>
      </c>
      <c r="V21" s="66">
        <v>65604.148601646797</v>
      </c>
      <c r="W21" s="66">
        <v>55002.834621808041</v>
      </c>
      <c r="X21" s="20" t="s">
        <v>131</v>
      </c>
      <c r="Y21" s="20" t="s">
        <v>112</v>
      </c>
      <c r="Z21" s="20" t="s">
        <v>282</v>
      </c>
      <c r="AA21" s="20">
        <v>2</v>
      </c>
      <c r="AB21" s="20">
        <v>1</v>
      </c>
      <c r="AC21" s="20">
        <v>4</v>
      </c>
      <c r="AD21" s="20" t="s">
        <v>112</v>
      </c>
      <c r="AE21" s="20" t="s">
        <v>131</v>
      </c>
      <c r="AF21" s="20" t="s">
        <v>131</v>
      </c>
      <c r="AG21" s="20" t="s">
        <v>131</v>
      </c>
      <c r="AH21" s="20" t="s">
        <v>131</v>
      </c>
      <c r="AI21" s="20" t="s">
        <v>131</v>
      </c>
      <c r="AJ21" s="20" t="s">
        <v>131</v>
      </c>
    </row>
    <row r="22" spans="1:36" s="14" customFormat="1" ht="13.5" hidden="1" customHeight="1" x14ac:dyDescent="0.25">
      <c r="A22" s="14" t="s">
        <v>92</v>
      </c>
      <c r="B22" s="4" t="s">
        <v>92</v>
      </c>
      <c r="C22" s="14" t="s">
        <v>131</v>
      </c>
      <c r="D22" s="14" t="s">
        <v>269</v>
      </c>
      <c r="E22" s="14" t="s">
        <v>270</v>
      </c>
      <c r="F22" s="14" t="s">
        <v>273</v>
      </c>
      <c r="J22" s="14" t="s">
        <v>268</v>
      </c>
      <c r="K22" s="6">
        <v>190.6</v>
      </c>
      <c r="L22" s="14" t="s">
        <v>118</v>
      </c>
      <c r="M22" s="1"/>
      <c r="N22" s="64" t="s">
        <v>131</v>
      </c>
      <c r="O22" s="64" t="s">
        <v>131</v>
      </c>
      <c r="P22" s="64" t="s">
        <v>131</v>
      </c>
      <c r="Q22" s="64" t="s">
        <v>131</v>
      </c>
      <c r="R22" s="11" t="s">
        <v>131</v>
      </c>
      <c r="S22" s="11" t="s">
        <v>131</v>
      </c>
      <c r="T22" s="64" t="s">
        <v>131</v>
      </c>
      <c r="U22" s="64" t="s">
        <v>131</v>
      </c>
      <c r="V22" s="67" t="s">
        <v>92</v>
      </c>
      <c r="W22" s="67" t="s">
        <v>92</v>
      </c>
      <c r="X22" s="64" t="s">
        <v>92</v>
      </c>
      <c r="Y22" s="11" t="s">
        <v>92</v>
      </c>
      <c r="Z22" s="11" t="s">
        <v>278</v>
      </c>
      <c r="AA22" s="11">
        <v>5</v>
      </c>
      <c r="AB22" s="11">
        <v>5</v>
      </c>
      <c r="AC22" s="11">
        <v>1</v>
      </c>
      <c r="AD22" s="11" t="s">
        <v>131</v>
      </c>
      <c r="AE22" s="11" t="s">
        <v>131</v>
      </c>
      <c r="AF22" s="11" t="s">
        <v>131</v>
      </c>
      <c r="AG22" s="11" t="s">
        <v>131</v>
      </c>
      <c r="AH22" s="11" t="s">
        <v>131</v>
      </c>
      <c r="AI22" s="11" t="s">
        <v>131</v>
      </c>
      <c r="AJ22" s="11" t="s">
        <v>131</v>
      </c>
    </row>
    <row r="23" spans="1:36" s="14" customFormat="1" ht="13.5" hidden="1" customHeight="1" x14ac:dyDescent="0.25">
      <c r="A23" s="14" t="s">
        <v>92</v>
      </c>
      <c r="B23" s="4" t="s">
        <v>92</v>
      </c>
      <c r="C23" s="14" t="s">
        <v>131</v>
      </c>
      <c r="D23" s="14" t="s">
        <v>269</v>
      </c>
      <c r="E23" s="14" t="s">
        <v>271</v>
      </c>
      <c r="F23" s="14" t="s">
        <v>273</v>
      </c>
      <c r="J23" s="14" t="s">
        <v>268</v>
      </c>
      <c r="K23" s="6">
        <v>190.5</v>
      </c>
      <c r="L23" s="14" t="s">
        <v>118</v>
      </c>
      <c r="M23" s="1"/>
      <c r="N23" s="64" t="s">
        <v>131</v>
      </c>
      <c r="O23" s="64" t="s">
        <v>131</v>
      </c>
      <c r="P23" s="64" t="s">
        <v>131</v>
      </c>
      <c r="Q23" s="64" t="s">
        <v>131</v>
      </c>
      <c r="R23" s="11" t="s">
        <v>131</v>
      </c>
      <c r="S23" s="11" t="s">
        <v>131</v>
      </c>
      <c r="T23" s="64" t="s">
        <v>131</v>
      </c>
      <c r="U23" s="64" t="s">
        <v>131</v>
      </c>
      <c r="V23" s="67" t="s">
        <v>92</v>
      </c>
      <c r="W23" s="67" t="s">
        <v>92</v>
      </c>
      <c r="X23" s="64" t="s">
        <v>92</v>
      </c>
      <c r="Y23" s="11" t="s">
        <v>92</v>
      </c>
      <c r="Z23" s="11" t="s">
        <v>280</v>
      </c>
      <c r="AA23" s="11">
        <v>1</v>
      </c>
      <c r="AB23" s="11">
        <v>2</v>
      </c>
      <c r="AC23" s="11">
        <v>2</v>
      </c>
      <c r="AD23" s="11" t="s">
        <v>131</v>
      </c>
      <c r="AE23" s="11" t="s">
        <v>131</v>
      </c>
      <c r="AF23" s="11" t="s">
        <v>131</v>
      </c>
      <c r="AG23" s="11" t="s">
        <v>131</v>
      </c>
      <c r="AH23" s="11" t="s">
        <v>131</v>
      </c>
      <c r="AI23" s="11" t="s">
        <v>131</v>
      </c>
      <c r="AJ23" s="11" t="s">
        <v>131</v>
      </c>
    </row>
    <row r="24" spans="1:36" s="14" customFormat="1" ht="13.5" hidden="1" customHeight="1" x14ac:dyDescent="0.25">
      <c r="A24" s="14" t="s">
        <v>92</v>
      </c>
      <c r="B24" s="4" t="s">
        <v>92</v>
      </c>
      <c r="C24" s="14" t="s">
        <v>131</v>
      </c>
      <c r="D24" s="14" t="s">
        <v>269</v>
      </c>
      <c r="E24" s="14" t="s">
        <v>272</v>
      </c>
      <c r="F24" s="14" t="s">
        <v>273</v>
      </c>
      <c r="J24" s="14" t="s">
        <v>268</v>
      </c>
      <c r="K24" s="6">
        <v>190.5</v>
      </c>
      <c r="L24" s="14" t="s">
        <v>118</v>
      </c>
      <c r="M24" s="1"/>
      <c r="N24" s="64" t="s">
        <v>131</v>
      </c>
      <c r="O24" s="64" t="s">
        <v>131</v>
      </c>
      <c r="P24" s="64" t="s">
        <v>131</v>
      </c>
      <c r="Q24" s="64" t="s">
        <v>131</v>
      </c>
      <c r="R24" s="11" t="s">
        <v>131</v>
      </c>
      <c r="S24" s="11" t="s">
        <v>131</v>
      </c>
      <c r="T24" s="64" t="s">
        <v>131</v>
      </c>
      <c r="U24" s="64" t="s">
        <v>131</v>
      </c>
      <c r="V24" s="67" t="s">
        <v>92</v>
      </c>
      <c r="W24" s="67" t="s">
        <v>92</v>
      </c>
      <c r="X24" s="64" t="s">
        <v>92</v>
      </c>
      <c r="Y24" s="11" t="s">
        <v>92</v>
      </c>
      <c r="Z24" s="11" t="s">
        <v>281</v>
      </c>
      <c r="AA24" s="11">
        <v>3</v>
      </c>
      <c r="AB24" s="11">
        <v>4</v>
      </c>
      <c r="AC24" s="11">
        <v>3</v>
      </c>
      <c r="AD24" s="11" t="s">
        <v>131</v>
      </c>
      <c r="AE24" s="11" t="s">
        <v>131</v>
      </c>
      <c r="AF24" s="11" t="s">
        <v>131</v>
      </c>
      <c r="AG24" s="11" t="s">
        <v>131</v>
      </c>
      <c r="AH24" s="11" t="s">
        <v>131</v>
      </c>
      <c r="AI24" s="11" t="s">
        <v>131</v>
      </c>
      <c r="AJ24" s="11" t="s">
        <v>131</v>
      </c>
    </row>
    <row r="25" spans="1:36" ht="14.45" customHeight="1" x14ac:dyDescent="0.25">
      <c r="A25" s="14" t="s">
        <v>92</v>
      </c>
      <c r="B25" s="95">
        <v>-8</v>
      </c>
      <c r="C25" s="2" t="s">
        <v>30</v>
      </c>
      <c r="D25" s="82" t="s">
        <v>116</v>
      </c>
      <c r="E25" s="82" t="s">
        <v>117</v>
      </c>
      <c r="F25" s="4" t="s">
        <v>94</v>
      </c>
      <c r="G25" s="111" t="s">
        <v>131</v>
      </c>
      <c r="H25" s="111" t="s">
        <v>131</v>
      </c>
      <c r="I25" s="110" t="s">
        <v>131</v>
      </c>
      <c r="J25" s="82" t="s">
        <v>104</v>
      </c>
      <c r="K25" s="90">
        <f>2.9+3.1+6.7+14.7</f>
        <v>27.4</v>
      </c>
      <c r="L25" s="89" t="s">
        <v>118</v>
      </c>
      <c r="N25" s="11" t="s">
        <v>113</v>
      </c>
      <c r="O25" s="11" t="s">
        <v>165</v>
      </c>
      <c r="P25" s="11" t="s">
        <v>113</v>
      </c>
      <c r="Q25" s="11" t="s">
        <v>131</v>
      </c>
      <c r="R25" s="11" t="s">
        <v>113</v>
      </c>
      <c r="S25" s="11">
        <v>2010</v>
      </c>
      <c r="T25" s="11" t="s">
        <v>131</v>
      </c>
      <c r="U25" s="11" t="s">
        <v>131</v>
      </c>
      <c r="V25" s="13" t="s">
        <v>92</v>
      </c>
      <c r="W25" s="13" t="s">
        <v>92</v>
      </c>
      <c r="X25" s="11" t="s">
        <v>92</v>
      </c>
      <c r="Y25" s="11" t="s">
        <v>92</v>
      </c>
      <c r="Z25" s="11" t="s">
        <v>279</v>
      </c>
      <c r="AA25" s="11">
        <v>4</v>
      </c>
      <c r="AB25" s="11">
        <v>3</v>
      </c>
      <c r="AC25" s="11">
        <v>5</v>
      </c>
      <c r="AD25" s="11" t="s">
        <v>131</v>
      </c>
      <c r="AE25" s="11" t="s">
        <v>131</v>
      </c>
      <c r="AF25" s="11" t="s">
        <v>112</v>
      </c>
      <c r="AG25" s="11" t="s">
        <v>112</v>
      </c>
      <c r="AH25" s="11" t="s">
        <v>131</v>
      </c>
      <c r="AI25" s="11" t="s">
        <v>113</v>
      </c>
      <c r="AJ25" s="11" t="s">
        <v>112</v>
      </c>
    </row>
    <row r="26" spans="1:36" ht="14.45" customHeight="1" x14ac:dyDescent="0.25">
      <c r="A26" s="14" t="s">
        <v>92</v>
      </c>
      <c r="B26" s="95">
        <v>-9</v>
      </c>
      <c r="C26" s="2" t="s">
        <v>30</v>
      </c>
      <c r="D26" s="82" t="s">
        <v>116</v>
      </c>
      <c r="E26" s="82" t="s">
        <v>117</v>
      </c>
      <c r="F26" s="4" t="s">
        <v>94</v>
      </c>
      <c r="G26" s="111" t="s">
        <v>131</v>
      </c>
      <c r="H26" s="111" t="s">
        <v>131</v>
      </c>
      <c r="I26" s="110" t="s">
        <v>131</v>
      </c>
      <c r="J26" s="82" t="s">
        <v>106</v>
      </c>
      <c r="K26" s="90">
        <f>2.9+3.1+6.7+14.7</f>
        <v>27.4</v>
      </c>
      <c r="L26" s="89" t="s">
        <v>118</v>
      </c>
      <c r="N26" s="11" t="s">
        <v>113</v>
      </c>
      <c r="O26" s="11" t="s">
        <v>165</v>
      </c>
      <c r="P26" s="11" t="s">
        <v>113</v>
      </c>
      <c r="Q26" s="11" t="s">
        <v>131</v>
      </c>
      <c r="R26" s="11" t="s">
        <v>113</v>
      </c>
      <c r="S26" s="11">
        <v>2010</v>
      </c>
      <c r="T26" s="11" t="s">
        <v>131</v>
      </c>
      <c r="U26" s="11" t="s">
        <v>131</v>
      </c>
      <c r="V26" s="13" t="s">
        <v>92</v>
      </c>
      <c r="W26" s="13" t="s">
        <v>92</v>
      </c>
      <c r="X26" s="11" t="s">
        <v>92</v>
      </c>
      <c r="Y26" s="11" t="s">
        <v>92</v>
      </c>
      <c r="Z26" s="11" t="s">
        <v>279</v>
      </c>
      <c r="AA26" s="11">
        <v>4</v>
      </c>
      <c r="AB26" s="11">
        <v>3</v>
      </c>
      <c r="AC26" s="11">
        <v>5</v>
      </c>
      <c r="AD26" s="11" t="s">
        <v>131</v>
      </c>
      <c r="AE26" s="11" t="s">
        <v>131</v>
      </c>
      <c r="AF26" s="11" t="s">
        <v>112</v>
      </c>
      <c r="AG26" s="11" t="s">
        <v>112</v>
      </c>
      <c r="AH26" s="11" t="s">
        <v>131</v>
      </c>
      <c r="AI26" s="11" t="s">
        <v>113</v>
      </c>
      <c r="AJ26" s="11" t="s">
        <v>112</v>
      </c>
    </row>
    <row r="27" spans="1:36" ht="14.45" customHeight="1" x14ac:dyDescent="0.25">
      <c r="A27" s="14" t="s">
        <v>92</v>
      </c>
      <c r="B27" s="95">
        <v>-10</v>
      </c>
      <c r="C27" s="2" t="s">
        <v>30</v>
      </c>
      <c r="D27" s="82" t="s">
        <v>116</v>
      </c>
      <c r="E27" s="82" t="s">
        <v>117</v>
      </c>
      <c r="F27" s="4" t="s">
        <v>94</v>
      </c>
      <c r="G27" s="111" t="s">
        <v>131</v>
      </c>
      <c r="H27" s="111" t="s">
        <v>131</v>
      </c>
      <c r="I27" s="110" t="s">
        <v>131</v>
      </c>
      <c r="J27" s="82" t="s">
        <v>105</v>
      </c>
      <c r="K27" s="90">
        <f>2.9+3.1+6.7+14.7</f>
        <v>27.4</v>
      </c>
      <c r="L27" s="89" t="s">
        <v>118</v>
      </c>
      <c r="N27" s="11" t="s">
        <v>113</v>
      </c>
      <c r="O27" s="11" t="s">
        <v>165</v>
      </c>
      <c r="P27" s="11" t="s">
        <v>113</v>
      </c>
      <c r="Q27" s="11" t="s">
        <v>131</v>
      </c>
      <c r="R27" s="11" t="s">
        <v>113</v>
      </c>
      <c r="S27" s="11">
        <v>2010</v>
      </c>
      <c r="T27" s="11" t="s">
        <v>131</v>
      </c>
      <c r="U27" s="11" t="s">
        <v>131</v>
      </c>
      <c r="V27" s="13" t="s">
        <v>92</v>
      </c>
      <c r="W27" s="13" t="s">
        <v>92</v>
      </c>
      <c r="X27" s="11" t="s">
        <v>92</v>
      </c>
      <c r="Y27" s="11" t="s">
        <v>92</v>
      </c>
      <c r="Z27" s="11" t="s">
        <v>279</v>
      </c>
      <c r="AA27" s="11">
        <v>4</v>
      </c>
      <c r="AB27" s="11">
        <v>3</v>
      </c>
      <c r="AC27" s="11">
        <v>5</v>
      </c>
      <c r="AD27" s="11" t="s">
        <v>131</v>
      </c>
      <c r="AE27" s="11" t="s">
        <v>131</v>
      </c>
      <c r="AF27" s="11" t="s">
        <v>112</v>
      </c>
      <c r="AG27" s="11" t="s">
        <v>112</v>
      </c>
      <c r="AH27" s="11" t="s">
        <v>131</v>
      </c>
      <c r="AI27" s="11" t="s">
        <v>113</v>
      </c>
      <c r="AJ27" s="11" t="s">
        <v>112</v>
      </c>
    </row>
    <row r="28" spans="1:36" ht="14.45" customHeight="1" x14ac:dyDescent="0.25">
      <c r="A28" s="14" t="s">
        <v>92</v>
      </c>
      <c r="B28" s="95">
        <v>-11</v>
      </c>
      <c r="C28" s="2" t="s">
        <v>30</v>
      </c>
      <c r="D28" s="82" t="s">
        <v>116</v>
      </c>
      <c r="E28" s="82" t="s">
        <v>117</v>
      </c>
      <c r="F28" s="4" t="s">
        <v>94</v>
      </c>
      <c r="G28" s="111" t="s">
        <v>131</v>
      </c>
      <c r="H28" s="111" t="s">
        <v>131</v>
      </c>
      <c r="I28" s="110" t="s">
        <v>131</v>
      </c>
      <c r="J28" s="82" t="s">
        <v>95</v>
      </c>
      <c r="K28" s="90">
        <f>2.9+3.1+6.7+14.7</f>
        <v>27.4</v>
      </c>
      <c r="L28" s="89" t="s">
        <v>118</v>
      </c>
      <c r="N28" s="11" t="s">
        <v>113</v>
      </c>
      <c r="O28" s="11" t="s">
        <v>165</v>
      </c>
      <c r="P28" s="11" t="s">
        <v>113</v>
      </c>
      <c r="Q28" s="11" t="s">
        <v>131</v>
      </c>
      <c r="R28" s="11" t="s">
        <v>113</v>
      </c>
      <c r="S28" s="11">
        <v>2010</v>
      </c>
      <c r="T28" s="11" t="s">
        <v>131</v>
      </c>
      <c r="U28" s="11" t="s">
        <v>131</v>
      </c>
      <c r="V28" s="13" t="s">
        <v>92</v>
      </c>
      <c r="W28" s="13" t="s">
        <v>92</v>
      </c>
      <c r="X28" s="11" t="s">
        <v>92</v>
      </c>
      <c r="Y28" s="11" t="s">
        <v>92</v>
      </c>
      <c r="Z28" s="11" t="s">
        <v>279</v>
      </c>
      <c r="AA28" s="11">
        <v>4</v>
      </c>
      <c r="AB28" s="11">
        <v>3</v>
      </c>
      <c r="AC28" s="11">
        <v>5</v>
      </c>
      <c r="AD28" s="11" t="s">
        <v>131</v>
      </c>
      <c r="AE28" s="11" t="s">
        <v>131</v>
      </c>
      <c r="AF28" s="11" t="s">
        <v>112</v>
      </c>
      <c r="AG28" s="11" t="s">
        <v>112</v>
      </c>
      <c r="AH28" s="11" t="s">
        <v>131</v>
      </c>
      <c r="AI28" s="11" t="s">
        <v>113</v>
      </c>
      <c r="AJ28" s="11" t="s">
        <v>112</v>
      </c>
    </row>
    <row r="29" spans="1:36" ht="14.45" customHeight="1" x14ac:dyDescent="0.25">
      <c r="A29" s="71" t="s">
        <v>131</v>
      </c>
      <c r="B29" s="96">
        <v>10</v>
      </c>
      <c r="C29" s="73" t="s">
        <v>30</v>
      </c>
      <c r="D29" s="84" t="s">
        <v>297</v>
      </c>
      <c r="E29" s="84" t="s">
        <v>8</v>
      </c>
      <c r="F29" s="73" t="s">
        <v>37</v>
      </c>
      <c r="G29" s="113" t="s">
        <v>131</v>
      </c>
      <c r="H29" s="113" t="s">
        <v>131</v>
      </c>
      <c r="I29" s="120" t="s">
        <v>131</v>
      </c>
      <c r="J29" s="84" t="s">
        <v>299</v>
      </c>
      <c r="K29" s="87">
        <v>35.700000000000003</v>
      </c>
      <c r="L29" s="89" t="s">
        <v>54</v>
      </c>
      <c r="M29" s="73"/>
      <c r="N29" s="20" t="s">
        <v>113</v>
      </c>
      <c r="O29" s="20" t="s">
        <v>301</v>
      </c>
      <c r="P29" s="20" t="s">
        <v>113</v>
      </c>
      <c r="Q29" s="20">
        <v>48</v>
      </c>
      <c r="R29" s="20" t="s">
        <v>113</v>
      </c>
      <c r="S29" s="20">
        <v>2043</v>
      </c>
      <c r="T29" s="20" t="s">
        <v>131</v>
      </c>
      <c r="U29" s="20" t="s">
        <v>131</v>
      </c>
      <c r="V29" s="74">
        <v>2227</v>
      </c>
      <c r="W29" s="74">
        <v>1291</v>
      </c>
      <c r="X29" s="20" t="s">
        <v>131</v>
      </c>
      <c r="Y29" s="20" t="s">
        <v>113</v>
      </c>
      <c r="Z29" s="20" t="s">
        <v>279</v>
      </c>
      <c r="AA29" s="20">
        <v>4</v>
      </c>
      <c r="AB29" s="20">
        <v>3</v>
      </c>
      <c r="AC29" s="20">
        <v>5</v>
      </c>
      <c r="AD29" s="20" t="s">
        <v>131</v>
      </c>
      <c r="AE29" s="20" t="s">
        <v>131</v>
      </c>
      <c r="AF29" s="20" t="s">
        <v>112</v>
      </c>
      <c r="AG29" s="20" t="s">
        <v>113</v>
      </c>
      <c r="AH29" s="20" t="s">
        <v>209</v>
      </c>
      <c r="AI29" s="20" t="s">
        <v>113</v>
      </c>
      <c r="AJ29" s="20" t="s">
        <v>113</v>
      </c>
    </row>
    <row r="30" spans="1:36" ht="14.45" customHeight="1" x14ac:dyDescent="0.25">
      <c r="A30" s="71" t="s">
        <v>131</v>
      </c>
      <c r="B30" s="96">
        <v>11</v>
      </c>
      <c r="C30" s="73" t="s">
        <v>30</v>
      </c>
      <c r="D30" s="84" t="s">
        <v>315</v>
      </c>
      <c r="E30" s="82" t="s">
        <v>181</v>
      </c>
      <c r="F30" s="4" t="s">
        <v>64</v>
      </c>
      <c r="G30" s="111" t="s">
        <v>131</v>
      </c>
      <c r="H30" s="111" t="s">
        <v>131</v>
      </c>
      <c r="I30" s="110" t="s">
        <v>131</v>
      </c>
      <c r="J30" s="84" t="s">
        <v>298</v>
      </c>
      <c r="K30" s="87">
        <v>21.2</v>
      </c>
      <c r="L30" s="89" t="s">
        <v>54</v>
      </c>
      <c r="M30" s="73"/>
      <c r="N30" s="20" t="s">
        <v>113</v>
      </c>
      <c r="O30" s="20" t="s">
        <v>300</v>
      </c>
      <c r="P30" s="20" t="s">
        <v>113</v>
      </c>
      <c r="Q30" s="20">
        <v>23</v>
      </c>
      <c r="R30" s="20" t="s">
        <v>112</v>
      </c>
      <c r="S30" s="20" t="s">
        <v>131</v>
      </c>
      <c r="T30" s="20" t="s">
        <v>131</v>
      </c>
      <c r="U30" s="20" t="s">
        <v>131</v>
      </c>
      <c r="V30" s="74">
        <v>4817</v>
      </c>
      <c r="W30" s="74">
        <v>4817</v>
      </c>
      <c r="X30" s="20" t="s">
        <v>131</v>
      </c>
      <c r="Y30" s="20" t="s">
        <v>113</v>
      </c>
      <c r="Z30" s="20" t="s">
        <v>281</v>
      </c>
      <c r="AA30" s="20">
        <v>3</v>
      </c>
      <c r="AB30" s="20">
        <v>4</v>
      </c>
      <c r="AC30" s="20">
        <v>3</v>
      </c>
      <c r="AD30" s="20" t="s">
        <v>131</v>
      </c>
      <c r="AE30" s="20" t="s">
        <v>131</v>
      </c>
      <c r="AF30" s="20" t="s">
        <v>112</v>
      </c>
      <c r="AG30" s="20" t="s">
        <v>112</v>
      </c>
      <c r="AH30" s="20" t="s">
        <v>211</v>
      </c>
      <c r="AI30" s="20" t="s">
        <v>112</v>
      </c>
      <c r="AJ30" s="20" t="s">
        <v>112</v>
      </c>
    </row>
    <row r="31" spans="1:36" ht="14.45" customHeight="1" x14ac:dyDescent="0.25">
      <c r="A31" s="4">
        <v>11</v>
      </c>
      <c r="B31" s="127">
        <v>12</v>
      </c>
      <c r="C31" s="4" t="s">
        <v>30</v>
      </c>
      <c r="D31" s="128" t="s">
        <v>316</v>
      </c>
      <c r="E31" s="128" t="s">
        <v>9</v>
      </c>
      <c r="F31" s="4" t="s">
        <v>161</v>
      </c>
      <c r="G31" s="132" t="s">
        <v>131</v>
      </c>
      <c r="H31" s="132">
        <v>1</v>
      </c>
      <c r="I31" s="133" t="s">
        <v>347</v>
      </c>
      <c r="J31" s="82" t="s">
        <v>56</v>
      </c>
      <c r="K31" s="87">
        <v>1.9</v>
      </c>
      <c r="L31" s="89" t="s">
        <v>54</v>
      </c>
      <c r="M31" s="5"/>
      <c r="N31" s="20" t="s">
        <v>112</v>
      </c>
      <c r="O31" s="20" t="s">
        <v>131</v>
      </c>
      <c r="P31" s="20" t="s">
        <v>112</v>
      </c>
      <c r="Q31" s="20" t="s">
        <v>131</v>
      </c>
      <c r="R31" s="20" t="s">
        <v>112</v>
      </c>
      <c r="S31" s="20" t="s">
        <v>131</v>
      </c>
      <c r="T31" s="20" t="s">
        <v>131</v>
      </c>
      <c r="U31" s="20" t="s">
        <v>131</v>
      </c>
      <c r="V31" s="66">
        <v>4900.4682979610297</v>
      </c>
      <c r="W31" s="66">
        <v>3833.8659773734503</v>
      </c>
      <c r="X31" s="20" t="s">
        <v>131</v>
      </c>
      <c r="Y31" s="20" t="s">
        <v>113</v>
      </c>
      <c r="Z31" s="20" t="s">
        <v>279</v>
      </c>
      <c r="AA31" s="20">
        <v>4</v>
      </c>
      <c r="AB31" s="20">
        <v>3</v>
      </c>
      <c r="AC31" s="20">
        <v>5</v>
      </c>
      <c r="AD31" s="20" t="s">
        <v>131</v>
      </c>
      <c r="AE31" s="20" t="s">
        <v>131</v>
      </c>
      <c r="AF31" s="20" t="s">
        <v>112</v>
      </c>
      <c r="AG31" s="20" t="s">
        <v>112</v>
      </c>
      <c r="AH31" s="20" t="s">
        <v>210</v>
      </c>
      <c r="AI31" s="20" t="s">
        <v>113</v>
      </c>
      <c r="AJ31" s="20" t="s">
        <v>112</v>
      </c>
    </row>
    <row r="32" spans="1:36" ht="14.45" customHeight="1" x14ac:dyDescent="0.25">
      <c r="A32" s="4">
        <v>12</v>
      </c>
      <c r="B32" s="95">
        <v>13</v>
      </c>
      <c r="C32" s="4" t="s">
        <v>30</v>
      </c>
      <c r="D32" s="82" t="s">
        <v>6</v>
      </c>
      <c r="E32" s="82" t="s">
        <v>7</v>
      </c>
      <c r="F32" s="5" t="s">
        <v>43</v>
      </c>
      <c r="G32" s="113" t="s">
        <v>131</v>
      </c>
      <c r="H32" s="113" t="s">
        <v>131</v>
      </c>
      <c r="I32" s="120" t="s">
        <v>131</v>
      </c>
      <c r="J32" s="82" t="s">
        <v>10</v>
      </c>
      <c r="K32" s="87">
        <v>1.8</v>
      </c>
      <c r="L32" s="89" t="s">
        <v>54</v>
      </c>
      <c r="M32" s="5"/>
      <c r="N32" s="20" t="s">
        <v>113</v>
      </c>
      <c r="O32" s="20" t="s">
        <v>167</v>
      </c>
      <c r="P32" s="20" t="s">
        <v>113</v>
      </c>
      <c r="Q32" s="20">
        <v>44</v>
      </c>
      <c r="R32" s="20" t="s">
        <v>113</v>
      </c>
      <c r="S32" s="20">
        <v>2097</v>
      </c>
      <c r="T32" s="20" t="s">
        <v>131</v>
      </c>
      <c r="U32" s="20" t="s">
        <v>131</v>
      </c>
      <c r="V32" s="66">
        <v>1728</v>
      </c>
      <c r="W32" s="66">
        <v>1728</v>
      </c>
      <c r="X32" s="20" t="s">
        <v>131</v>
      </c>
      <c r="Y32" s="20" t="s">
        <v>112</v>
      </c>
      <c r="Z32" s="20" t="s">
        <v>281</v>
      </c>
      <c r="AA32" s="20">
        <v>3</v>
      </c>
      <c r="AB32" s="20">
        <v>4</v>
      </c>
      <c r="AC32" s="20">
        <v>3</v>
      </c>
      <c r="AD32" s="20" t="s">
        <v>131</v>
      </c>
      <c r="AE32" s="20" t="s">
        <v>131</v>
      </c>
      <c r="AF32" s="20" t="s">
        <v>112</v>
      </c>
      <c r="AG32" s="20" t="s">
        <v>112</v>
      </c>
      <c r="AH32" s="20" t="s">
        <v>131</v>
      </c>
      <c r="AI32" s="20" t="s">
        <v>113</v>
      </c>
      <c r="AJ32" s="20" t="s">
        <v>112</v>
      </c>
    </row>
    <row r="33" spans="1:36" ht="14.45" customHeight="1" x14ac:dyDescent="0.25">
      <c r="A33" s="7">
        <v>13</v>
      </c>
      <c r="B33" s="95">
        <v>14</v>
      </c>
      <c r="C33" s="4" t="s">
        <v>30</v>
      </c>
      <c r="D33" s="82" t="s">
        <v>6</v>
      </c>
      <c r="E33" s="82" t="s">
        <v>7</v>
      </c>
      <c r="F33" s="4" t="s">
        <v>43</v>
      </c>
      <c r="G33" s="111" t="s">
        <v>131</v>
      </c>
      <c r="H33" s="111" t="s">
        <v>131</v>
      </c>
      <c r="I33" s="110" t="s">
        <v>131</v>
      </c>
      <c r="J33" s="82" t="s">
        <v>57</v>
      </c>
      <c r="K33" s="87">
        <v>1.4</v>
      </c>
      <c r="L33" s="89" t="s">
        <v>54</v>
      </c>
      <c r="M33" s="5"/>
      <c r="N33" s="20" t="s">
        <v>113</v>
      </c>
      <c r="O33" s="20" t="s">
        <v>168</v>
      </c>
      <c r="P33" s="20" t="s">
        <v>113</v>
      </c>
      <c r="Q33" s="20">
        <v>45</v>
      </c>
      <c r="R33" s="20" t="s">
        <v>112</v>
      </c>
      <c r="S33" s="20" t="s">
        <v>131</v>
      </c>
      <c r="T33" s="20" t="s">
        <v>131</v>
      </c>
      <c r="U33" s="20" t="s">
        <v>131</v>
      </c>
      <c r="V33" s="66">
        <v>842</v>
      </c>
      <c r="W33" s="66">
        <v>761</v>
      </c>
      <c r="X33" s="20" t="s">
        <v>131</v>
      </c>
      <c r="Y33" s="20" t="s">
        <v>112</v>
      </c>
      <c r="Z33" s="20" t="s">
        <v>281</v>
      </c>
      <c r="AA33" s="20">
        <v>3</v>
      </c>
      <c r="AB33" s="20">
        <v>4</v>
      </c>
      <c r="AC33" s="20">
        <v>3</v>
      </c>
      <c r="AD33" s="20" t="s">
        <v>131</v>
      </c>
      <c r="AE33" s="20" t="s">
        <v>131</v>
      </c>
      <c r="AF33" s="20" t="s">
        <v>112</v>
      </c>
      <c r="AG33" s="20" t="s">
        <v>112</v>
      </c>
      <c r="AH33" s="20" t="s">
        <v>131</v>
      </c>
      <c r="AI33" s="20" t="s">
        <v>113</v>
      </c>
      <c r="AJ33" s="20" t="s">
        <v>112</v>
      </c>
    </row>
    <row r="34" spans="1:36" ht="14.45" customHeight="1" x14ac:dyDescent="0.25">
      <c r="A34" s="4">
        <v>14</v>
      </c>
      <c r="B34" s="95">
        <v>15</v>
      </c>
      <c r="C34" s="4" t="s">
        <v>30</v>
      </c>
      <c r="D34" s="82" t="s">
        <v>6</v>
      </c>
      <c r="E34" s="82" t="s">
        <v>7</v>
      </c>
      <c r="F34" s="4" t="s">
        <v>43</v>
      </c>
      <c r="G34" s="111" t="s">
        <v>131</v>
      </c>
      <c r="H34" s="111" t="s">
        <v>131</v>
      </c>
      <c r="I34" s="110" t="s">
        <v>131</v>
      </c>
      <c r="J34" s="82" t="s">
        <v>58</v>
      </c>
      <c r="K34" s="87">
        <v>1.4</v>
      </c>
      <c r="L34" s="89" t="s">
        <v>54</v>
      </c>
      <c r="M34" s="5"/>
      <c r="N34" s="20" t="s">
        <v>113</v>
      </c>
      <c r="O34" s="20" t="s">
        <v>169</v>
      </c>
      <c r="P34" s="20" t="s">
        <v>113</v>
      </c>
      <c r="Q34" s="20">
        <v>47</v>
      </c>
      <c r="R34" s="20" t="s">
        <v>113</v>
      </c>
      <c r="S34" s="20">
        <v>2089</v>
      </c>
      <c r="T34" s="20" t="s">
        <v>131</v>
      </c>
      <c r="U34" s="20" t="s">
        <v>131</v>
      </c>
      <c r="V34" s="66">
        <v>669</v>
      </c>
      <c r="W34" s="66">
        <v>630</v>
      </c>
      <c r="X34" s="20" t="s">
        <v>131</v>
      </c>
      <c r="Y34" s="20" t="s">
        <v>112</v>
      </c>
      <c r="Z34" s="20" t="s">
        <v>281</v>
      </c>
      <c r="AA34" s="20">
        <v>3</v>
      </c>
      <c r="AB34" s="20">
        <v>4</v>
      </c>
      <c r="AC34" s="20">
        <v>3</v>
      </c>
      <c r="AD34" s="20" t="s">
        <v>131</v>
      </c>
      <c r="AE34" s="20" t="s">
        <v>131</v>
      </c>
      <c r="AF34" s="20" t="s">
        <v>112</v>
      </c>
      <c r="AG34" s="20" t="s">
        <v>112</v>
      </c>
      <c r="AH34" s="20" t="s">
        <v>131</v>
      </c>
      <c r="AI34" s="20" t="s">
        <v>113</v>
      </c>
      <c r="AJ34" s="20" t="s">
        <v>112</v>
      </c>
    </row>
    <row r="35" spans="1:36" ht="14.45" customHeight="1" x14ac:dyDescent="0.25">
      <c r="A35" s="4">
        <v>18</v>
      </c>
      <c r="B35" s="95">
        <v>16</v>
      </c>
      <c r="C35" s="4" t="s">
        <v>30</v>
      </c>
      <c r="D35" s="82" t="s">
        <v>6</v>
      </c>
      <c r="E35" s="82" t="s">
        <v>7</v>
      </c>
      <c r="F35" s="4" t="s">
        <v>43</v>
      </c>
      <c r="G35" s="111" t="s">
        <v>131</v>
      </c>
      <c r="H35" s="111" t="s">
        <v>131</v>
      </c>
      <c r="I35" s="110" t="s">
        <v>131</v>
      </c>
      <c r="J35" s="82" t="s">
        <v>59</v>
      </c>
      <c r="K35" s="87">
        <v>0.6</v>
      </c>
      <c r="L35" s="89" t="s">
        <v>54</v>
      </c>
      <c r="M35" s="5"/>
      <c r="N35" s="20" t="s">
        <v>113</v>
      </c>
      <c r="O35" s="20" t="s">
        <v>170</v>
      </c>
      <c r="P35" s="20" t="s">
        <v>112</v>
      </c>
      <c r="Q35" s="20" t="s">
        <v>131</v>
      </c>
      <c r="R35" s="20" t="s">
        <v>111</v>
      </c>
      <c r="S35" s="20">
        <v>2105</v>
      </c>
      <c r="T35" s="20" t="s">
        <v>131</v>
      </c>
      <c r="U35" s="20" t="s">
        <v>131</v>
      </c>
      <c r="V35" s="66">
        <v>561.39676093695505</v>
      </c>
      <c r="W35" s="66">
        <v>502.67861818673293</v>
      </c>
      <c r="X35" s="20" t="s">
        <v>131</v>
      </c>
      <c r="Y35" s="20" t="s">
        <v>112</v>
      </c>
      <c r="Z35" s="20" t="s">
        <v>281</v>
      </c>
      <c r="AA35" s="20">
        <v>3</v>
      </c>
      <c r="AB35" s="20">
        <v>4</v>
      </c>
      <c r="AC35" s="20">
        <v>3</v>
      </c>
      <c r="AD35" s="20" t="s">
        <v>131</v>
      </c>
      <c r="AE35" s="20" t="s">
        <v>131</v>
      </c>
      <c r="AF35" s="20" t="s">
        <v>112</v>
      </c>
      <c r="AG35" s="20" t="s">
        <v>112</v>
      </c>
      <c r="AH35" s="20" t="s">
        <v>131</v>
      </c>
      <c r="AI35" s="20" t="s">
        <v>113</v>
      </c>
      <c r="AJ35" s="20" t="s">
        <v>112</v>
      </c>
    </row>
    <row r="36" spans="1:36" ht="14.45" customHeight="1" x14ac:dyDescent="0.25">
      <c r="A36" s="4">
        <v>10</v>
      </c>
      <c r="B36" s="95">
        <v>17</v>
      </c>
      <c r="C36" s="2" t="s">
        <v>30</v>
      </c>
      <c r="D36" s="82" t="s">
        <v>27</v>
      </c>
      <c r="E36" s="82" t="s">
        <v>8</v>
      </c>
      <c r="F36" s="4" t="s">
        <v>37</v>
      </c>
      <c r="G36" s="111" t="s">
        <v>131</v>
      </c>
      <c r="H36" s="111" t="s">
        <v>131</v>
      </c>
      <c r="I36" s="110" t="s">
        <v>131</v>
      </c>
      <c r="J36" s="82" t="s">
        <v>324</v>
      </c>
      <c r="K36" s="87">
        <f>5.5+29.5</f>
        <v>35</v>
      </c>
      <c r="L36" s="89" t="s">
        <v>307</v>
      </c>
      <c r="M36" s="1"/>
      <c r="N36" s="11" t="s">
        <v>113</v>
      </c>
      <c r="O36" s="11" t="s">
        <v>308</v>
      </c>
      <c r="P36" s="11" t="s">
        <v>113</v>
      </c>
      <c r="Q36" s="11">
        <v>11</v>
      </c>
      <c r="R36" s="11" t="s">
        <v>112</v>
      </c>
      <c r="S36" s="11" t="s">
        <v>131</v>
      </c>
      <c r="T36" s="11" t="s">
        <v>131</v>
      </c>
      <c r="U36" s="11" t="s">
        <v>131</v>
      </c>
      <c r="V36" s="65">
        <v>8400.7004096038399</v>
      </c>
      <c r="W36" s="65">
        <v>4490.0961893826498</v>
      </c>
      <c r="X36" s="11" t="s">
        <v>131</v>
      </c>
      <c r="Y36" s="11" t="s">
        <v>113</v>
      </c>
      <c r="Z36" s="11" t="s">
        <v>279</v>
      </c>
      <c r="AA36" s="11">
        <v>4</v>
      </c>
      <c r="AB36" s="11">
        <v>3</v>
      </c>
      <c r="AC36" s="11">
        <v>5</v>
      </c>
      <c r="AD36" s="11" t="s">
        <v>131</v>
      </c>
      <c r="AE36" s="11" t="s">
        <v>131</v>
      </c>
      <c r="AF36" s="11" t="s">
        <v>112</v>
      </c>
      <c r="AG36" s="11" t="s">
        <v>113</v>
      </c>
      <c r="AH36" s="11" t="s">
        <v>209</v>
      </c>
      <c r="AI36" s="11" t="s">
        <v>113</v>
      </c>
      <c r="AJ36" s="11" t="s">
        <v>113</v>
      </c>
    </row>
    <row r="37" spans="1:36" ht="14.45" customHeight="1" x14ac:dyDescent="0.25">
      <c r="A37" s="2">
        <v>20</v>
      </c>
      <c r="B37" s="127">
        <v>18</v>
      </c>
      <c r="C37" s="4" t="s">
        <v>29</v>
      </c>
      <c r="D37" s="131" t="s">
        <v>27</v>
      </c>
      <c r="E37" s="128" t="s">
        <v>60</v>
      </c>
      <c r="F37" s="5" t="s">
        <v>39</v>
      </c>
      <c r="G37" s="129" t="s">
        <v>131</v>
      </c>
      <c r="H37" s="129">
        <v>1</v>
      </c>
      <c r="I37" s="130" t="s">
        <v>345</v>
      </c>
      <c r="J37" s="82" t="s">
        <v>61</v>
      </c>
      <c r="K37" s="87">
        <v>174.3</v>
      </c>
      <c r="L37" s="89" t="s">
        <v>62</v>
      </c>
      <c r="M37" s="5" t="s">
        <v>63</v>
      </c>
      <c r="N37" s="20" t="s">
        <v>111</v>
      </c>
      <c r="O37" s="20" t="s">
        <v>163</v>
      </c>
      <c r="P37" s="20" t="s">
        <v>111</v>
      </c>
      <c r="Q37" s="20">
        <v>9</v>
      </c>
      <c r="R37" s="20" t="s">
        <v>112</v>
      </c>
      <c r="S37" s="20" t="s">
        <v>131</v>
      </c>
      <c r="T37" s="20" t="s">
        <v>113</v>
      </c>
      <c r="U37" s="20" t="s">
        <v>129</v>
      </c>
      <c r="V37" s="66">
        <v>104509.218188115</v>
      </c>
      <c r="W37" s="66">
        <v>85272.480404783579</v>
      </c>
      <c r="X37" s="20" t="s">
        <v>131</v>
      </c>
      <c r="Y37" s="20" t="s">
        <v>112</v>
      </c>
      <c r="Z37" s="20" t="s">
        <v>282</v>
      </c>
      <c r="AA37" s="20">
        <v>2</v>
      </c>
      <c r="AB37" s="20">
        <v>1</v>
      </c>
      <c r="AC37" s="20">
        <v>4</v>
      </c>
      <c r="AD37" s="20" t="s">
        <v>113</v>
      </c>
      <c r="AE37" s="20" t="s">
        <v>241</v>
      </c>
      <c r="AF37" s="20" t="s">
        <v>131</v>
      </c>
      <c r="AG37" s="20" t="s">
        <v>131</v>
      </c>
      <c r="AH37" s="20" t="s">
        <v>131</v>
      </c>
      <c r="AI37" s="20" t="s">
        <v>131</v>
      </c>
      <c r="AJ37" s="20" t="s">
        <v>131</v>
      </c>
    </row>
    <row r="38" spans="1:36" ht="14.45" customHeight="1" x14ac:dyDescent="0.25">
      <c r="A38" s="4">
        <v>21</v>
      </c>
      <c r="B38" s="95">
        <v>19</v>
      </c>
      <c r="C38" s="4" t="s">
        <v>30</v>
      </c>
      <c r="D38" s="82" t="s">
        <v>11</v>
      </c>
      <c r="E38" s="82" t="s">
        <v>20</v>
      </c>
      <c r="F38" s="4" t="s">
        <v>37</v>
      </c>
      <c r="G38" s="111" t="s">
        <v>131</v>
      </c>
      <c r="H38" s="111" t="s">
        <v>131</v>
      </c>
      <c r="I38" s="110" t="s">
        <v>131</v>
      </c>
      <c r="J38" s="82" t="s">
        <v>325</v>
      </c>
      <c r="K38" s="87">
        <v>28.9</v>
      </c>
      <c r="L38" s="89" t="s">
        <v>62</v>
      </c>
      <c r="M38" s="5"/>
      <c r="N38" s="20" t="s">
        <v>113</v>
      </c>
      <c r="O38" s="20" t="s">
        <v>171</v>
      </c>
      <c r="P38" s="20" t="s">
        <v>113</v>
      </c>
      <c r="Q38" s="20">
        <v>35</v>
      </c>
      <c r="R38" s="20" t="s">
        <v>113</v>
      </c>
      <c r="S38" s="20">
        <v>2070</v>
      </c>
      <c r="T38" s="20" t="s">
        <v>131</v>
      </c>
      <c r="U38" s="20" t="s">
        <v>131</v>
      </c>
      <c r="V38" s="66">
        <v>987.75550561845296</v>
      </c>
      <c r="W38" s="66">
        <v>843.20602852501281</v>
      </c>
      <c r="X38" s="20" t="s">
        <v>131</v>
      </c>
      <c r="Y38" s="20" t="s">
        <v>113</v>
      </c>
      <c r="Z38" s="20" t="s">
        <v>279</v>
      </c>
      <c r="AA38" s="20">
        <v>4</v>
      </c>
      <c r="AB38" s="20">
        <v>3</v>
      </c>
      <c r="AC38" s="20">
        <v>5</v>
      </c>
      <c r="AD38" s="20" t="s">
        <v>131</v>
      </c>
      <c r="AE38" s="20" t="s">
        <v>131</v>
      </c>
      <c r="AF38" s="20" t="s">
        <v>112</v>
      </c>
      <c r="AG38" s="20" t="s">
        <v>113</v>
      </c>
      <c r="AH38" s="20" t="s">
        <v>131</v>
      </c>
      <c r="AI38" s="20" t="s">
        <v>113</v>
      </c>
      <c r="AJ38" s="20" t="s">
        <v>113</v>
      </c>
    </row>
    <row r="39" spans="1:36" ht="14.45" customHeight="1" x14ac:dyDescent="0.25">
      <c r="A39" s="50">
        <v>22</v>
      </c>
      <c r="B39" s="95">
        <v>20</v>
      </c>
      <c r="C39" s="4" t="s">
        <v>30</v>
      </c>
      <c r="D39" s="82" t="s">
        <v>12</v>
      </c>
      <c r="E39" s="82" t="s">
        <v>181</v>
      </c>
      <c r="F39" s="4" t="s">
        <v>64</v>
      </c>
      <c r="G39" s="111" t="s">
        <v>131</v>
      </c>
      <c r="H39" s="111" t="s">
        <v>131</v>
      </c>
      <c r="I39" s="110" t="s">
        <v>131</v>
      </c>
      <c r="J39" s="82" t="s">
        <v>13</v>
      </c>
      <c r="K39" s="87">
        <v>16.100000000000001</v>
      </c>
      <c r="L39" s="89" t="s">
        <v>62</v>
      </c>
      <c r="M39" s="5"/>
      <c r="N39" s="20" t="s">
        <v>112</v>
      </c>
      <c r="O39" s="20" t="s">
        <v>131</v>
      </c>
      <c r="P39" s="20" t="s">
        <v>112</v>
      </c>
      <c r="Q39" s="20" t="s">
        <v>131</v>
      </c>
      <c r="R39" s="20" t="s">
        <v>112</v>
      </c>
      <c r="S39" s="20" t="s">
        <v>131</v>
      </c>
      <c r="T39" s="20" t="s">
        <v>131</v>
      </c>
      <c r="U39" s="20" t="s">
        <v>131</v>
      </c>
      <c r="V39" s="66">
        <v>18693.216336633501</v>
      </c>
      <c r="W39" s="66">
        <v>7129.2836176617902</v>
      </c>
      <c r="X39" s="20" t="s">
        <v>131</v>
      </c>
      <c r="Y39" s="20" t="s">
        <v>113</v>
      </c>
      <c r="Z39" s="20" t="s">
        <v>279</v>
      </c>
      <c r="AA39" s="20">
        <v>4</v>
      </c>
      <c r="AB39" s="20">
        <v>3</v>
      </c>
      <c r="AC39" s="20">
        <v>5</v>
      </c>
      <c r="AD39" s="20" t="s">
        <v>131</v>
      </c>
      <c r="AE39" s="20" t="s">
        <v>131</v>
      </c>
      <c r="AF39" s="20" t="s">
        <v>112</v>
      </c>
      <c r="AG39" s="20" t="s">
        <v>112</v>
      </c>
      <c r="AH39" s="20" t="s">
        <v>131</v>
      </c>
      <c r="AI39" s="20" t="s">
        <v>112</v>
      </c>
      <c r="AJ39" s="20" t="s">
        <v>207</v>
      </c>
    </row>
    <row r="40" spans="1:36" ht="14.45" customHeight="1" x14ac:dyDescent="0.25">
      <c r="A40" s="4">
        <v>23</v>
      </c>
      <c r="B40" s="127">
        <v>21</v>
      </c>
      <c r="C40" s="4" t="s">
        <v>30</v>
      </c>
      <c r="D40" s="128" t="s">
        <v>317</v>
      </c>
      <c r="E40" s="128" t="s">
        <v>14</v>
      </c>
      <c r="F40" s="4" t="s">
        <v>43</v>
      </c>
      <c r="G40" s="132">
        <v>6</v>
      </c>
      <c r="H40" s="132">
        <v>1</v>
      </c>
      <c r="I40" s="133" t="s">
        <v>347</v>
      </c>
      <c r="J40" s="82" t="s">
        <v>326</v>
      </c>
      <c r="K40" s="87">
        <v>10.3</v>
      </c>
      <c r="L40" s="89" t="s">
        <v>62</v>
      </c>
      <c r="M40" s="5"/>
      <c r="N40" s="20" t="s">
        <v>112</v>
      </c>
      <c r="O40" s="20" t="s">
        <v>131</v>
      </c>
      <c r="P40" s="20" t="s">
        <v>112</v>
      </c>
      <c r="Q40" s="20" t="s">
        <v>131</v>
      </c>
      <c r="R40" s="20" t="s">
        <v>112</v>
      </c>
      <c r="S40" s="20" t="s">
        <v>131</v>
      </c>
      <c r="T40" s="20" t="s">
        <v>131</v>
      </c>
      <c r="U40" s="20" t="s">
        <v>131</v>
      </c>
      <c r="V40" s="66">
        <v>4186.5768684227696</v>
      </c>
      <c r="W40" s="66">
        <v>3312.3132590077803</v>
      </c>
      <c r="X40" s="20" t="s">
        <v>131</v>
      </c>
      <c r="Y40" s="20" t="s">
        <v>112</v>
      </c>
      <c r="Z40" s="20" t="s">
        <v>279</v>
      </c>
      <c r="AA40" s="20">
        <v>4</v>
      </c>
      <c r="AB40" s="20">
        <v>3</v>
      </c>
      <c r="AC40" s="20">
        <v>5</v>
      </c>
      <c r="AD40" s="20" t="s">
        <v>131</v>
      </c>
      <c r="AE40" s="20" t="s">
        <v>131</v>
      </c>
      <c r="AF40" s="20" t="s">
        <v>112</v>
      </c>
      <c r="AG40" s="20" t="s">
        <v>113</v>
      </c>
      <c r="AH40" s="20" t="s">
        <v>208</v>
      </c>
      <c r="AI40" s="20" t="s">
        <v>113</v>
      </c>
      <c r="AJ40" s="20" t="s">
        <v>207</v>
      </c>
    </row>
    <row r="41" spans="1:36" ht="14.45" customHeight="1" x14ac:dyDescent="0.25">
      <c r="A41" s="7">
        <v>24</v>
      </c>
      <c r="B41" s="95">
        <v>22</v>
      </c>
      <c r="C41" s="4" t="s">
        <v>30</v>
      </c>
      <c r="D41" s="82" t="s">
        <v>318</v>
      </c>
      <c r="E41" s="82" t="s">
        <v>8</v>
      </c>
      <c r="F41" s="4" t="s">
        <v>37</v>
      </c>
      <c r="G41" s="111" t="s">
        <v>131</v>
      </c>
      <c r="H41" s="111" t="s">
        <v>131</v>
      </c>
      <c r="I41" s="110" t="s">
        <v>131</v>
      </c>
      <c r="J41" s="82" t="s">
        <v>327</v>
      </c>
      <c r="K41" s="87">
        <v>9.6999999999999993</v>
      </c>
      <c r="L41" s="89" t="s">
        <v>62</v>
      </c>
      <c r="M41" s="5"/>
      <c r="N41" s="20" t="s">
        <v>112</v>
      </c>
      <c r="O41" s="20" t="s">
        <v>131</v>
      </c>
      <c r="P41" s="20" t="s">
        <v>112</v>
      </c>
      <c r="Q41" s="20" t="s">
        <v>131</v>
      </c>
      <c r="R41" s="20" t="s">
        <v>112</v>
      </c>
      <c r="S41" s="20" t="s">
        <v>131</v>
      </c>
      <c r="T41" s="20" t="s">
        <v>131</v>
      </c>
      <c r="U41" s="20" t="s">
        <v>131</v>
      </c>
      <c r="V41" s="66">
        <v>1654.86521496772</v>
      </c>
      <c r="W41" s="66">
        <v>1079.5156363883855</v>
      </c>
      <c r="X41" s="20" t="s">
        <v>131</v>
      </c>
      <c r="Y41" s="20" t="s">
        <v>113</v>
      </c>
      <c r="Z41" s="20" t="s">
        <v>279</v>
      </c>
      <c r="AA41" s="20">
        <v>4</v>
      </c>
      <c r="AB41" s="20">
        <v>3</v>
      </c>
      <c r="AC41" s="20">
        <v>5</v>
      </c>
      <c r="AD41" s="20" t="s">
        <v>131</v>
      </c>
      <c r="AE41" s="20" t="s">
        <v>131</v>
      </c>
      <c r="AF41" s="20" t="s">
        <v>112</v>
      </c>
      <c r="AG41" s="20" t="s">
        <v>113</v>
      </c>
      <c r="AH41" s="20" t="s">
        <v>131</v>
      </c>
      <c r="AI41" s="20" t="s">
        <v>113</v>
      </c>
      <c r="AJ41" s="20" t="s">
        <v>113</v>
      </c>
    </row>
    <row r="42" spans="1:36" ht="14.45" customHeight="1" x14ac:dyDescent="0.25">
      <c r="A42" s="50" t="s">
        <v>92</v>
      </c>
      <c r="B42" s="95">
        <v>-12</v>
      </c>
      <c r="C42" s="4" t="s">
        <v>30</v>
      </c>
      <c r="D42" s="82" t="s">
        <v>107</v>
      </c>
      <c r="E42" s="82" t="s">
        <v>108</v>
      </c>
      <c r="F42" s="4" t="s">
        <v>109</v>
      </c>
      <c r="G42" s="111" t="s">
        <v>131</v>
      </c>
      <c r="H42" s="111" t="s">
        <v>131</v>
      </c>
      <c r="I42" s="110" t="s">
        <v>131</v>
      </c>
      <c r="J42" s="82" t="s">
        <v>110</v>
      </c>
      <c r="K42" s="87">
        <v>4.5</v>
      </c>
      <c r="L42" s="89" t="s">
        <v>62</v>
      </c>
      <c r="M42" s="5"/>
      <c r="N42" s="20" t="s">
        <v>112</v>
      </c>
      <c r="O42" s="20" t="s">
        <v>131</v>
      </c>
      <c r="P42" s="20" t="s">
        <v>112</v>
      </c>
      <c r="Q42" s="20" t="s">
        <v>131</v>
      </c>
      <c r="R42" s="20" t="s">
        <v>112</v>
      </c>
      <c r="S42" s="20" t="s">
        <v>131</v>
      </c>
      <c r="T42" s="20" t="s">
        <v>131</v>
      </c>
      <c r="U42" s="20" t="s">
        <v>131</v>
      </c>
      <c r="V42" s="70" t="s">
        <v>92</v>
      </c>
      <c r="W42" s="70" t="s">
        <v>92</v>
      </c>
      <c r="X42" s="20" t="s">
        <v>92</v>
      </c>
      <c r="Y42" s="20" t="s">
        <v>92</v>
      </c>
      <c r="Z42" s="20" t="s">
        <v>281</v>
      </c>
      <c r="AA42" s="20">
        <v>3</v>
      </c>
      <c r="AB42" s="20">
        <v>4</v>
      </c>
      <c r="AC42" s="20">
        <v>3</v>
      </c>
      <c r="AD42" s="20" t="s">
        <v>131</v>
      </c>
      <c r="AE42" s="20" t="s">
        <v>131</v>
      </c>
      <c r="AF42" s="20" t="s">
        <v>112</v>
      </c>
      <c r="AG42" s="20" t="s">
        <v>112</v>
      </c>
      <c r="AH42" s="20" t="s">
        <v>131</v>
      </c>
      <c r="AI42" s="20" t="s">
        <v>112</v>
      </c>
      <c r="AJ42" s="20" t="s">
        <v>207</v>
      </c>
    </row>
    <row r="43" spans="1:36" ht="14.45" customHeight="1" x14ac:dyDescent="0.25">
      <c r="A43" s="4">
        <v>26</v>
      </c>
      <c r="B43" s="95">
        <v>23</v>
      </c>
      <c r="C43" s="4" t="s">
        <v>29</v>
      </c>
      <c r="D43" s="82" t="s">
        <v>71</v>
      </c>
      <c r="E43" s="82" t="s">
        <v>38</v>
      </c>
      <c r="F43" s="5" t="s">
        <v>39</v>
      </c>
      <c r="G43" s="113" t="s">
        <v>131</v>
      </c>
      <c r="H43" s="113" t="s">
        <v>131</v>
      </c>
      <c r="I43" s="120" t="s">
        <v>131</v>
      </c>
      <c r="J43" s="82" t="s">
        <v>40</v>
      </c>
      <c r="K43" s="87">
        <v>4.0999999999999996</v>
      </c>
      <c r="L43" s="89" t="s">
        <v>62</v>
      </c>
      <c r="M43" s="5"/>
      <c r="N43" s="20" t="s">
        <v>111</v>
      </c>
      <c r="O43" s="20" t="s">
        <v>163</v>
      </c>
      <c r="P43" s="20" t="s">
        <v>111</v>
      </c>
      <c r="Q43" s="20">
        <v>14</v>
      </c>
      <c r="R43" s="20" t="s">
        <v>112</v>
      </c>
      <c r="S43" s="20" t="s">
        <v>131</v>
      </c>
      <c r="T43" s="20" t="s">
        <v>112</v>
      </c>
      <c r="U43" s="20" t="s">
        <v>131</v>
      </c>
      <c r="V43" s="66">
        <v>68996.204206148395</v>
      </c>
      <c r="W43" s="66">
        <v>63582.955337424391</v>
      </c>
      <c r="X43" s="20" t="s">
        <v>131</v>
      </c>
      <c r="Y43" s="20" t="s">
        <v>112</v>
      </c>
      <c r="Z43" s="20" t="s">
        <v>282</v>
      </c>
      <c r="AA43" s="20">
        <v>2</v>
      </c>
      <c r="AB43" s="20">
        <v>1</v>
      </c>
      <c r="AC43" s="20">
        <v>4</v>
      </c>
      <c r="AD43" s="20" t="s">
        <v>112</v>
      </c>
      <c r="AE43" s="20" t="s">
        <v>131</v>
      </c>
      <c r="AF43" s="20" t="s">
        <v>131</v>
      </c>
      <c r="AG43" s="20" t="s">
        <v>131</v>
      </c>
      <c r="AH43" s="20" t="s">
        <v>131</v>
      </c>
      <c r="AI43" s="20" t="s">
        <v>131</v>
      </c>
      <c r="AJ43" s="20" t="s">
        <v>131</v>
      </c>
    </row>
    <row r="44" spans="1:36" ht="14.45" customHeight="1" x14ac:dyDescent="0.25">
      <c r="A44" s="4">
        <v>28</v>
      </c>
      <c r="B44" s="95">
        <v>24</v>
      </c>
      <c r="C44" s="4" t="s">
        <v>30</v>
      </c>
      <c r="D44" s="82" t="s">
        <v>15</v>
      </c>
      <c r="E44" s="82" t="s">
        <v>181</v>
      </c>
      <c r="F44" s="4" t="s">
        <v>64</v>
      </c>
      <c r="G44" s="111" t="s">
        <v>131</v>
      </c>
      <c r="H44" s="111" t="s">
        <v>131</v>
      </c>
      <c r="I44" s="110" t="s">
        <v>131</v>
      </c>
      <c r="J44" s="82" t="s">
        <v>74</v>
      </c>
      <c r="K44" s="87">
        <v>3.5</v>
      </c>
      <c r="L44" s="89" t="s">
        <v>62</v>
      </c>
      <c r="M44" s="5"/>
      <c r="N44" s="20" t="s">
        <v>112</v>
      </c>
      <c r="O44" s="20" t="s">
        <v>131</v>
      </c>
      <c r="P44" s="20" t="s">
        <v>112</v>
      </c>
      <c r="Q44" s="20" t="s">
        <v>131</v>
      </c>
      <c r="R44" s="20" t="s">
        <v>112</v>
      </c>
      <c r="S44" s="20" t="s">
        <v>131</v>
      </c>
      <c r="T44" s="20" t="s">
        <v>131</v>
      </c>
      <c r="U44" s="20" t="s">
        <v>131</v>
      </c>
      <c r="V44" s="66">
        <v>5208.5003479096704</v>
      </c>
      <c r="W44" s="66">
        <v>3797.0976317840145</v>
      </c>
      <c r="X44" s="20" t="s">
        <v>131</v>
      </c>
      <c r="Y44" s="20" t="s">
        <v>113</v>
      </c>
      <c r="Z44" s="20" t="s">
        <v>281</v>
      </c>
      <c r="AA44" s="20">
        <v>3</v>
      </c>
      <c r="AB44" s="20">
        <v>4</v>
      </c>
      <c r="AC44" s="20">
        <v>3</v>
      </c>
      <c r="AD44" s="20" t="s">
        <v>131</v>
      </c>
      <c r="AE44" s="20" t="s">
        <v>131</v>
      </c>
      <c r="AF44" s="20" t="s">
        <v>112</v>
      </c>
      <c r="AG44" s="20" t="s">
        <v>112</v>
      </c>
      <c r="AH44" s="20" t="s">
        <v>208</v>
      </c>
      <c r="AI44" s="20" t="s">
        <v>112</v>
      </c>
      <c r="AJ44" s="20" t="s">
        <v>207</v>
      </c>
    </row>
    <row r="45" spans="1:36" ht="14.45" customHeight="1" x14ac:dyDescent="0.25">
      <c r="A45" s="4">
        <v>29</v>
      </c>
      <c r="B45" s="95">
        <v>25</v>
      </c>
      <c r="C45" s="4" t="s">
        <v>30</v>
      </c>
      <c r="D45" s="82" t="s">
        <v>11</v>
      </c>
      <c r="E45" s="82" t="s">
        <v>17</v>
      </c>
      <c r="F45" s="4" t="s">
        <v>37</v>
      </c>
      <c r="G45" s="111" t="s">
        <v>131</v>
      </c>
      <c r="H45" s="111" t="s">
        <v>131</v>
      </c>
      <c r="I45" s="110" t="s">
        <v>131</v>
      </c>
      <c r="J45" s="82" t="s">
        <v>328</v>
      </c>
      <c r="K45" s="87">
        <v>3.1</v>
      </c>
      <c r="L45" s="89" t="s">
        <v>62</v>
      </c>
      <c r="M45" s="5"/>
      <c r="N45" s="20" t="s">
        <v>113</v>
      </c>
      <c r="O45" s="20" t="s">
        <v>172</v>
      </c>
      <c r="P45" s="20" t="s">
        <v>113</v>
      </c>
      <c r="Q45" s="20">
        <v>58</v>
      </c>
      <c r="R45" s="20" t="s">
        <v>113</v>
      </c>
      <c r="S45" s="20">
        <v>2069</v>
      </c>
      <c r="T45" s="20" t="s">
        <v>131</v>
      </c>
      <c r="U45" s="20" t="s">
        <v>131</v>
      </c>
      <c r="V45" s="66">
        <v>4442.4674295559898</v>
      </c>
      <c r="W45" s="66">
        <v>4203.9319266208886</v>
      </c>
      <c r="X45" s="20" t="s">
        <v>131</v>
      </c>
      <c r="Y45" s="20" t="s">
        <v>113</v>
      </c>
      <c r="Z45" s="20" t="s">
        <v>279</v>
      </c>
      <c r="AA45" s="20">
        <v>4</v>
      </c>
      <c r="AB45" s="20">
        <v>3</v>
      </c>
      <c r="AC45" s="20">
        <v>5</v>
      </c>
      <c r="AD45" s="20" t="s">
        <v>131</v>
      </c>
      <c r="AE45" s="20" t="s">
        <v>131</v>
      </c>
      <c r="AF45" s="20" t="s">
        <v>113</v>
      </c>
      <c r="AG45" s="20" t="s">
        <v>113</v>
      </c>
      <c r="AH45" s="20" t="s">
        <v>131</v>
      </c>
      <c r="AI45" s="20" t="s">
        <v>113</v>
      </c>
      <c r="AJ45" s="20" t="s">
        <v>113</v>
      </c>
    </row>
    <row r="46" spans="1:36" ht="14.45" customHeight="1" x14ac:dyDescent="0.25">
      <c r="A46" s="4">
        <v>30</v>
      </c>
      <c r="B46" s="95">
        <v>26</v>
      </c>
      <c r="C46" s="4" t="s">
        <v>30</v>
      </c>
      <c r="D46" s="82" t="s">
        <v>6</v>
      </c>
      <c r="E46" s="82" t="s">
        <v>331</v>
      </c>
      <c r="F46" s="4" t="s">
        <v>43</v>
      </c>
      <c r="G46" s="111" t="s">
        <v>131</v>
      </c>
      <c r="H46" s="111" t="s">
        <v>131</v>
      </c>
      <c r="I46" s="110" t="s">
        <v>131</v>
      </c>
      <c r="J46" s="82" t="s">
        <v>329</v>
      </c>
      <c r="K46" s="87">
        <v>0.3</v>
      </c>
      <c r="L46" s="89" t="s">
        <v>62</v>
      </c>
      <c r="M46" s="5"/>
      <c r="N46" s="20" t="s">
        <v>112</v>
      </c>
      <c r="O46" s="20" t="s">
        <v>131</v>
      </c>
      <c r="P46" s="20" t="s">
        <v>112</v>
      </c>
      <c r="Q46" s="20" t="s">
        <v>131</v>
      </c>
      <c r="R46" s="20" t="s">
        <v>112</v>
      </c>
      <c r="S46" s="20" t="s">
        <v>131</v>
      </c>
      <c r="T46" s="20" t="s">
        <v>131</v>
      </c>
      <c r="U46" s="20"/>
      <c r="V46" s="66">
        <v>2832.4312514029398</v>
      </c>
      <c r="W46" s="66">
        <v>2832.4312514029398</v>
      </c>
      <c r="X46" s="20" t="s">
        <v>131</v>
      </c>
      <c r="Y46" s="20" t="s">
        <v>112</v>
      </c>
      <c r="Z46" s="20" t="s">
        <v>281</v>
      </c>
      <c r="AA46" s="20">
        <v>3</v>
      </c>
      <c r="AB46" s="20">
        <v>4</v>
      </c>
      <c r="AC46" s="20">
        <v>3</v>
      </c>
      <c r="AD46" s="20" t="s">
        <v>131</v>
      </c>
      <c r="AE46" s="20" t="s">
        <v>131</v>
      </c>
      <c r="AF46" s="20" t="s">
        <v>112</v>
      </c>
      <c r="AG46" s="20" t="s">
        <v>112</v>
      </c>
      <c r="AH46" s="20" t="s">
        <v>131</v>
      </c>
      <c r="AI46" s="20" t="s">
        <v>113</v>
      </c>
      <c r="AJ46" s="20" t="s">
        <v>207</v>
      </c>
    </row>
    <row r="47" spans="1:36" ht="14.45" customHeight="1" x14ac:dyDescent="0.25">
      <c r="A47" s="4">
        <v>25</v>
      </c>
      <c r="B47" s="95">
        <v>27</v>
      </c>
      <c r="C47" s="4" t="s">
        <v>30</v>
      </c>
      <c r="D47" s="82" t="s">
        <v>27</v>
      </c>
      <c r="E47" s="82" t="s">
        <v>20</v>
      </c>
      <c r="F47" s="4" t="s">
        <v>37</v>
      </c>
      <c r="G47" s="111" t="s">
        <v>131</v>
      </c>
      <c r="H47" s="111" t="s">
        <v>131</v>
      </c>
      <c r="I47" s="110" t="s">
        <v>131</v>
      </c>
      <c r="J47" s="82" t="s">
        <v>69</v>
      </c>
      <c r="K47" s="87">
        <f>5.1+29</f>
        <v>34.1</v>
      </c>
      <c r="L47" s="89" t="s">
        <v>70</v>
      </c>
      <c r="M47" s="5"/>
      <c r="N47" s="20" t="s">
        <v>113</v>
      </c>
      <c r="O47" s="20" t="s">
        <v>173</v>
      </c>
      <c r="P47" s="20" t="s">
        <v>113</v>
      </c>
      <c r="Q47" s="20">
        <v>49</v>
      </c>
      <c r="R47" s="20" t="s">
        <v>112</v>
      </c>
      <c r="S47" s="20" t="s">
        <v>131</v>
      </c>
      <c r="T47" s="20" t="s">
        <v>131</v>
      </c>
      <c r="U47" s="20" t="s">
        <v>131</v>
      </c>
      <c r="V47" s="66">
        <v>2332.08040820614</v>
      </c>
      <c r="W47" s="66">
        <v>875.59606202622228</v>
      </c>
      <c r="X47" s="20" t="s">
        <v>131</v>
      </c>
      <c r="Y47" s="20" t="s">
        <v>113</v>
      </c>
      <c r="Z47" s="20" t="s">
        <v>279</v>
      </c>
      <c r="AA47" s="20">
        <v>4</v>
      </c>
      <c r="AB47" s="20">
        <v>3</v>
      </c>
      <c r="AC47" s="20">
        <v>5</v>
      </c>
      <c r="AD47" s="20" t="s">
        <v>131</v>
      </c>
      <c r="AE47" s="20" t="s">
        <v>131</v>
      </c>
      <c r="AF47" s="20" t="s">
        <v>112</v>
      </c>
      <c r="AG47" s="20" t="s">
        <v>113</v>
      </c>
      <c r="AH47" s="20" t="s">
        <v>209</v>
      </c>
      <c r="AI47" s="20" t="s">
        <v>113</v>
      </c>
      <c r="AJ47" s="20" t="s">
        <v>113</v>
      </c>
    </row>
    <row r="48" spans="1:36" ht="14.45" customHeight="1" x14ac:dyDescent="0.25">
      <c r="A48" s="4">
        <v>27</v>
      </c>
      <c r="B48" s="95">
        <v>28</v>
      </c>
      <c r="C48" s="4" t="s">
        <v>30</v>
      </c>
      <c r="D48" s="82" t="s">
        <v>319</v>
      </c>
      <c r="E48" s="82" t="s">
        <v>20</v>
      </c>
      <c r="F48" s="4" t="s">
        <v>37</v>
      </c>
      <c r="G48" s="111" t="s">
        <v>131</v>
      </c>
      <c r="H48" s="111" t="s">
        <v>131</v>
      </c>
      <c r="I48" s="110" t="s">
        <v>131</v>
      </c>
      <c r="J48" s="82" t="s">
        <v>73</v>
      </c>
      <c r="K48" s="87">
        <f>4.1+23.2</f>
        <v>27.299999999999997</v>
      </c>
      <c r="L48" s="89" t="s">
        <v>70</v>
      </c>
      <c r="M48" s="5"/>
      <c r="N48" s="20" t="s">
        <v>113</v>
      </c>
      <c r="O48" s="20" t="s">
        <v>174</v>
      </c>
      <c r="P48" s="20" t="s">
        <v>113</v>
      </c>
      <c r="Q48" s="20">
        <v>37</v>
      </c>
      <c r="R48" s="20" t="s">
        <v>112</v>
      </c>
      <c r="S48" s="20" t="s">
        <v>131</v>
      </c>
      <c r="T48" s="20" t="s">
        <v>131</v>
      </c>
      <c r="U48" s="20" t="s">
        <v>131</v>
      </c>
      <c r="V48" s="66">
        <v>2556.6300111772198</v>
      </c>
      <c r="W48" s="66">
        <v>2403.8888518279191</v>
      </c>
      <c r="X48" s="20" t="s">
        <v>131</v>
      </c>
      <c r="Y48" s="20" t="s">
        <v>113</v>
      </c>
      <c r="Z48" s="20" t="s">
        <v>279</v>
      </c>
      <c r="AA48" s="20">
        <v>4</v>
      </c>
      <c r="AB48" s="20">
        <v>3</v>
      </c>
      <c r="AC48" s="20">
        <v>5</v>
      </c>
      <c r="AD48" s="20" t="s">
        <v>131</v>
      </c>
      <c r="AE48" s="20" t="s">
        <v>131</v>
      </c>
      <c r="AF48" s="20" t="s">
        <v>112</v>
      </c>
      <c r="AG48" s="20" t="s">
        <v>113</v>
      </c>
      <c r="AH48" s="20" t="s">
        <v>211</v>
      </c>
      <c r="AI48" s="20" t="s">
        <v>113</v>
      </c>
      <c r="AJ48" s="20" t="s">
        <v>113</v>
      </c>
    </row>
    <row r="49" spans="1:36" ht="14.45" customHeight="1" x14ac:dyDescent="0.25">
      <c r="A49" s="7">
        <v>31</v>
      </c>
      <c r="B49" s="127">
        <v>29</v>
      </c>
      <c r="C49" s="4" t="s">
        <v>29</v>
      </c>
      <c r="D49" s="128" t="s">
        <v>16</v>
      </c>
      <c r="E49" s="128" t="s">
        <v>38</v>
      </c>
      <c r="F49" s="5" t="s">
        <v>39</v>
      </c>
      <c r="G49" s="129" t="s">
        <v>131</v>
      </c>
      <c r="H49" s="129">
        <v>1</v>
      </c>
      <c r="I49" s="130" t="s">
        <v>346</v>
      </c>
      <c r="J49" s="82" t="s">
        <v>76</v>
      </c>
      <c r="K49" s="87">
        <v>386.2</v>
      </c>
      <c r="L49" s="89" t="s">
        <v>77</v>
      </c>
      <c r="M49" s="5"/>
      <c r="N49" s="20" t="s">
        <v>111</v>
      </c>
      <c r="O49" s="20" t="s">
        <v>163</v>
      </c>
      <c r="P49" s="20" t="s">
        <v>111</v>
      </c>
      <c r="Q49" s="20">
        <v>6</v>
      </c>
      <c r="R49" s="20" t="s">
        <v>112</v>
      </c>
      <c r="S49" s="20" t="s">
        <v>131</v>
      </c>
      <c r="T49" s="20" t="s">
        <v>113</v>
      </c>
      <c r="U49" s="20" t="s">
        <v>129</v>
      </c>
      <c r="V49" s="66">
        <v>119731.202728327</v>
      </c>
      <c r="W49" s="66">
        <v>119731.202728327</v>
      </c>
      <c r="X49" s="20" t="s">
        <v>131</v>
      </c>
      <c r="Y49" s="20" t="s">
        <v>112</v>
      </c>
      <c r="Z49" s="20" t="s">
        <v>282</v>
      </c>
      <c r="AA49" s="20">
        <v>2</v>
      </c>
      <c r="AB49" s="20">
        <v>1</v>
      </c>
      <c r="AC49" s="20">
        <v>4</v>
      </c>
      <c r="AD49" s="20" t="s">
        <v>113</v>
      </c>
      <c r="AE49" s="20" t="s">
        <v>203</v>
      </c>
      <c r="AF49" s="20" t="s">
        <v>131</v>
      </c>
      <c r="AG49" s="20" t="s">
        <v>131</v>
      </c>
      <c r="AH49" s="20" t="s">
        <v>131</v>
      </c>
      <c r="AI49" s="20" t="s">
        <v>131</v>
      </c>
      <c r="AJ49" s="20" t="s">
        <v>131</v>
      </c>
    </row>
    <row r="50" spans="1:36" ht="14.45" customHeight="1" x14ac:dyDescent="0.25">
      <c r="A50" s="7">
        <v>32</v>
      </c>
      <c r="B50" s="95">
        <v>30</v>
      </c>
      <c r="C50" s="4" t="s">
        <v>30</v>
      </c>
      <c r="D50" s="82" t="s">
        <v>320</v>
      </c>
      <c r="E50" s="82" t="s">
        <v>17</v>
      </c>
      <c r="F50" s="4" t="s">
        <v>37</v>
      </c>
      <c r="G50" s="111" t="s">
        <v>131</v>
      </c>
      <c r="H50" s="111" t="s">
        <v>131</v>
      </c>
      <c r="I50" s="110" t="s">
        <v>131</v>
      </c>
      <c r="J50" s="82" t="s">
        <v>79</v>
      </c>
      <c r="K50" s="87">
        <v>72.400000000000006</v>
      </c>
      <c r="L50" s="89" t="s">
        <v>77</v>
      </c>
      <c r="M50" s="5"/>
      <c r="N50" s="20" t="s">
        <v>113</v>
      </c>
      <c r="O50" s="20" t="s">
        <v>175</v>
      </c>
      <c r="P50" s="20" t="s">
        <v>113</v>
      </c>
      <c r="Q50" s="20">
        <v>56</v>
      </c>
      <c r="R50" s="20" t="s">
        <v>112</v>
      </c>
      <c r="S50" s="20" t="s">
        <v>131</v>
      </c>
      <c r="T50" s="20" t="s">
        <v>131</v>
      </c>
      <c r="U50" s="20" t="s">
        <v>131</v>
      </c>
      <c r="V50" s="66">
        <v>1877.73704038654</v>
      </c>
      <c r="W50" s="66">
        <v>1269.4900429375896</v>
      </c>
      <c r="X50" s="20" t="s">
        <v>131</v>
      </c>
      <c r="Y50" s="20" t="s">
        <v>113</v>
      </c>
      <c r="Z50" s="20" t="s">
        <v>279</v>
      </c>
      <c r="AA50" s="20">
        <v>4</v>
      </c>
      <c r="AB50" s="20">
        <v>3</v>
      </c>
      <c r="AC50" s="20">
        <v>5</v>
      </c>
      <c r="AD50" s="20" t="s">
        <v>131</v>
      </c>
      <c r="AE50" s="20" t="s">
        <v>131</v>
      </c>
      <c r="AF50" s="20" t="s">
        <v>113</v>
      </c>
      <c r="AG50" s="20" t="s">
        <v>113</v>
      </c>
      <c r="AH50" s="20" t="s">
        <v>131</v>
      </c>
      <c r="AI50" s="20" t="s">
        <v>113</v>
      </c>
      <c r="AJ50" s="20" t="s">
        <v>113</v>
      </c>
    </row>
    <row r="51" spans="1:36" ht="14.45" customHeight="1" x14ac:dyDescent="0.25">
      <c r="A51" s="51">
        <v>33</v>
      </c>
      <c r="B51" s="95">
        <v>31</v>
      </c>
      <c r="C51" s="4" t="s">
        <v>30</v>
      </c>
      <c r="D51" s="82" t="s">
        <v>321</v>
      </c>
      <c r="E51" s="82" t="s">
        <v>18</v>
      </c>
      <c r="F51" s="7" t="s">
        <v>81</v>
      </c>
      <c r="G51" s="111" t="s">
        <v>131</v>
      </c>
      <c r="H51" s="111" t="s">
        <v>131</v>
      </c>
      <c r="I51" s="110" t="s">
        <v>131</v>
      </c>
      <c r="J51" s="82" t="s">
        <v>19</v>
      </c>
      <c r="K51" s="87">
        <v>56.6</v>
      </c>
      <c r="L51" s="89" t="s">
        <v>77</v>
      </c>
      <c r="M51" s="5"/>
      <c r="N51" s="20" t="s">
        <v>112</v>
      </c>
      <c r="O51" s="20" t="s">
        <v>131</v>
      </c>
      <c r="P51" s="20" t="s">
        <v>112</v>
      </c>
      <c r="Q51" s="20" t="s">
        <v>131</v>
      </c>
      <c r="R51" s="20" t="s">
        <v>112</v>
      </c>
      <c r="S51" s="20" t="s">
        <v>131</v>
      </c>
      <c r="T51" s="20" t="s">
        <v>131</v>
      </c>
      <c r="U51" s="20" t="s">
        <v>131</v>
      </c>
      <c r="V51" s="66">
        <v>5652.4529695992796</v>
      </c>
      <c r="W51" s="66">
        <v>3690.3869794937823</v>
      </c>
      <c r="X51" s="20" t="s">
        <v>131</v>
      </c>
      <c r="Y51" s="20" t="s">
        <v>113</v>
      </c>
      <c r="Z51" s="20" t="s">
        <v>281</v>
      </c>
      <c r="AA51" s="20">
        <v>3</v>
      </c>
      <c r="AB51" s="20">
        <v>4</v>
      </c>
      <c r="AC51" s="20">
        <v>3</v>
      </c>
      <c r="AD51" s="20" t="s">
        <v>131</v>
      </c>
      <c r="AE51" s="20" t="s">
        <v>131</v>
      </c>
      <c r="AF51" s="20" t="s">
        <v>113</v>
      </c>
      <c r="AG51" s="20" t="s">
        <v>113</v>
      </c>
      <c r="AH51" s="20" t="s">
        <v>131</v>
      </c>
      <c r="AI51" s="20" t="s">
        <v>113</v>
      </c>
      <c r="AJ51" s="20" t="s">
        <v>113</v>
      </c>
    </row>
    <row r="52" spans="1:36" ht="14.45" customHeight="1" x14ac:dyDescent="0.25">
      <c r="A52" s="7">
        <v>34</v>
      </c>
      <c r="B52" s="95">
        <v>32</v>
      </c>
      <c r="C52" s="4" t="s">
        <v>30</v>
      </c>
      <c r="D52" s="82" t="s">
        <v>322</v>
      </c>
      <c r="E52" s="82" t="s">
        <v>20</v>
      </c>
      <c r="F52" s="4" t="s">
        <v>37</v>
      </c>
      <c r="G52" s="111" t="s">
        <v>131</v>
      </c>
      <c r="H52" s="111" t="s">
        <v>131</v>
      </c>
      <c r="I52" s="110" t="s">
        <v>131</v>
      </c>
      <c r="J52" s="82" t="s">
        <v>83</v>
      </c>
      <c r="K52" s="87">
        <v>47.5</v>
      </c>
      <c r="L52" s="89" t="s">
        <v>77</v>
      </c>
      <c r="M52" s="5"/>
      <c r="N52" s="20" t="s">
        <v>113</v>
      </c>
      <c r="O52" s="20" t="s">
        <v>176</v>
      </c>
      <c r="P52" s="20" t="s">
        <v>113</v>
      </c>
      <c r="Q52" s="20">
        <v>50</v>
      </c>
      <c r="R52" s="20" t="s">
        <v>113</v>
      </c>
      <c r="S52" s="20">
        <v>2117</v>
      </c>
      <c r="T52" s="20" t="s">
        <v>131</v>
      </c>
      <c r="U52" s="20" t="s">
        <v>131</v>
      </c>
      <c r="V52" s="66">
        <v>4745.16709213993</v>
      </c>
      <c r="W52" s="66">
        <v>4235.0949745479638</v>
      </c>
      <c r="X52" s="20" t="s">
        <v>131</v>
      </c>
      <c r="Y52" s="20" t="s">
        <v>113</v>
      </c>
      <c r="Z52" s="20" t="s">
        <v>279</v>
      </c>
      <c r="AA52" s="20">
        <v>4</v>
      </c>
      <c r="AB52" s="20">
        <v>3</v>
      </c>
      <c r="AC52" s="20">
        <v>5</v>
      </c>
      <c r="AD52" s="20" t="s">
        <v>131</v>
      </c>
      <c r="AE52" s="20" t="s">
        <v>131</v>
      </c>
      <c r="AF52" s="20" t="s">
        <v>112</v>
      </c>
      <c r="AG52" s="20" t="s">
        <v>113</v>
      </c>
      <c r="AH52" s="20" t="s">
        <v>209</v>
      </c>
      <c r="AI52" s="20" t="s">
        <v>113</v>
      </c>
      <c r="AJ52" s="20" t="s">
        <v>113</v>
      </c>
    </row>
    <row r="53" spans="1:36" ht="14.45" customHeight="1" x14ac:dyDescent="0.25">
      <c r="A53" s="7">
        <v>35</v>
      </c>
      <c r="B53" s="95">
        <v>33</v>
      </c>
      <c r="C53" s="4" t="s">
        <v>30</v>
      </c>
      <c r="D53" s="82" t="s">
        <v>4</v>
      </c>
      <c r="E53" s="82" t="s">
        <v>5</v>
      </c>
      <c r="F53" s="7" t="s">
        <v>84</v>
      </c>
      <c r="G53" s="111" t="s">
        <v>131</v>
      </c>
      <c r="H53" s="111" t="s">
        <v>131</v>
      </c>
      <c r="I53" s="110" t="s">
        <v>131</v>
      </c>
      <c r="J53" s="82" t="s">
        <v>85</v>
      </c>
      <c r="K53" s="87">
        <v>38.6</v>
      </c>
      <c r="L53" s="89" t="s">
        <v>77</v>
      </c>
      <c r="M53" s="5"/>
      <c r="N53" s="20" t="s">
        <v>113</v>
      </c>
      <c r="O53" s="20" t="s">
        <v>178</v>
      </c>
      <c r="P53" s="20" t="s">
        <v>112</v>
      </c>
      <c r="Q53" s="20" t="s">
        <v>131</v>
      </c>
      <c r="R53" s="20" t="s">
        <v>113</v>
      </c>
      <c r="S53" s="20">
        <v>2107</v>
      </c>
      <c r="T53" s="20" t="s">
        <v>131</v>
      </c>
      <c r="U53" s="20" t="s">
        <v>131</v>
      </c>
      <c r="V53" s="66">
        <v>273.69524868604498</v>
      </c>
      <c r="W53" s="66">
        <v>192.45989065541679</v>
      </c>
      <c r="X53" s="20" t="s">
        <v>131</v>
      </c>
      <c r="Y53" s="20" t="s">
        <v>112</v>
      </c>
      <c r="Z53" s="20" t="s">
        <v>281</v>
      </c>
      <c r="AA53" s="20">
        <v>3</v>
      </c>
      <c r="AB53" s="20">
        <v>4</v>
      </c>
      <c r="AC53" s="20">
        <v>3</v>
      </c>
      <c r="AD53" s="20" t="s">
        <v>131</v>
      </c>
      <c r="AE53" s="20" t="s">
        <v>131</v>
      </c>
      <c r="AF53" s="20" t="s">
        <v>112</v>
      </c>
      <c r="AG53" s="20" t="s">
        <v>112</v>
      </c>
      <c r="AH53" s="20" t="s">
        <v>131</v>
      </c>
      <c r="AI53" s="20" t="s">
        <v>113</v>
      </c>
      <c r="AJ53" s="20" t="s">
        <v>207</v>
      </c>
    </row>
    <row r="54" spans="1:36" ht="14.45" customHeight="1" x14ac:dyDescent="0.25">
      <c r="A54" s="7">
        <v>36</v>
      </c>
      <c r="B54" s="95">
        <v>34</v>
      </c>
      <c r="C54" s="4" t="s">
        <v>30</v>
      </c>
      <c r="D54" s="82" t="s">
        <v>11</v>
      </c>
      <c r="E54" s="82" t="s">
        <v>8</v>
      </c>
      <c r="F54" s="4" t="s">
        <v>37</v>
      </c>
      <c r="G54" s="111" t="s">
        <v>131</v>
      </c>
      <c r="H54" s="111" t="s">
        <v>131</v>
      </c>
      <c r="I54" s="110" t="s">
        <v>131</v>
      </c>
      <c r="J54" s="82" t="s">
        <v>86</v>
      </c>
      <c r="K54" s="87">
        <v>25.3</v>
      </c>
      <c r="L54" s="89" t="s">
        <v>77</v>
      </c>
      <c r="M54" s="5"/>
      <c r="N54" s="20" t="s">
        <v>113</v>
      </c>
      <c r="O54" s="20" t="s">
        <v>166</v>
      </c>
      <c r="P54" s="20" t="s">
        <v>113</v>
      </c>
      <c r="Q54" s="20">
        <v>20</v>
      </c>
      <c r="R54" s="20" t="s">
        <v>113</v>
      </c>
      <c r="S54" s="20">
        <v>2071</v>
      </c>
      <c r="T54" s="20" t="s">
        <v>131</v>
      </c>
      <c r="U54" s="20" t="s">
        <v>131</v>
      </c>
      <c r="V54" s="66">
        <v>11793.3692143278</v>
      </c>
      <c r="W54" s="66">
        <v>11793.3692143278</v>
      </c>
      <c r="X54" s="20" t="s">
        <v>131</v>
      </c>
      <c r="Y54" s="20" t="s">
        <v>113</v>
      </c>
      <c r="Z54" s="20" t="s">
        <v>279</v>
      </c>
      <c r="AA54" s="20">
        <v>4</v>
      </c>
      <c r="AB54" s="20">
        <v>3</v>
      </c>
      <c r="AC54" s="20">
        <v>5</v>
      </c>
      <c r="AD54" s="20" t="s">
        <v>131</v>
      </c>
      <c r="AE54" s="20" t="s">
        <v>131</v>
      </c>
      <c r="AF54" s="20" t="s">
        <v>112</v>
      </c>
      <c r="AG54" s="20" t="s">
        <v>113</v>
      </c>
      <c r="AH54" s="20" t="s">
        <v>208</v>
      </c>
      <c r="AI54" s="20" t="s">
        <v>113</v>
      </c>
      <c r="AJ54" s="20" t="s">
        <v>113</v>
      </c>
    </row>
    <row r="55" spans="1:36" ht="14.45" customHeight="1" x14ac:dyDescent="0.25">
      <c r="A55" s="51">
        <v>37</v>
      </c>
      <c r="B55" s="95">
        <v>35</v>
      </c>
      <c r="C55" s="4" t="s">
        <v>30</v>
      </c>
      <c r="D55" s="82" t="s">
        <v>323</v>
      </c>
      <c r="E55" s="82" t="s">
        <v>21</v>
      </c>
      <c r="F55" s="7" t="s">
        <v>84</v>
      </c>
      <c r="G55" s="111" t="s">
        <v>131</v>
      </c>
      <c r="H55" s="111" t="s">
        <v>131</v>
      </c>
      <c r="I55" s="110" t="s">
        <v>131</v>
      </c>
      <c r="J55" s="82" t="s">
        <v>330</v>
      </c>
      <c r="K55" s="87">
        <v>15.6</v>
      </c>
      <c r="L55" s="89" t="s">
        <v>77</v>
      </c>
      <c r="M55" s="5"/>
      <c r="N55" s="20" t="s">
        <v>112</v>
      </c>
      <c r="O55" s="20" t="s">
        <v>131</v>
      </c>
      <c r="P55" s="20" t="s">
        <v>112</v>
      </c>
      <c r="Q55" s="20" t="s">
        <v>131</v>
      </c>
      <c r="R55" s="20" t="s">
        <v>112</v>
      </c>
      <c r="S55" s="20" t="s">
        <v>131</v>
      </c>
      <c r="T55" s="20" t="s">
        <v>131</v>
      </c>
      <c r="U55" s="20" t="s">
        <v>131</v>
      </c>
      <c r="V55" s="66">
        <v>2959.2489745378598</v>
      </c>
      <c r="W55" s="66">
        <v>2592.800638195547</v>
      </c>
      <c r="X55" s="20" t="s">
        <v>131</v>
      </c>
      <c r="Y55" s="20" t="s">
        <v>112</v>
      </c>
      <c r="Z55" s="20" t="s">
        <v>281</v>
      </c>
      <c r="AA55" s="20">
        <v>3</v>
      </c>
      <c r="AB55" s="20">
        <v>4</v>
      </c>
      <c r="AC55" s="20">
        <v>3</v>
      </c>
      <c r="AD55" s="20" t="s">
        <v>131</v>
      </c>
      <c r="AE55" s="20" t="s">
        <v>131</v>
      </c>
      <c r="AF55" s="20" t="s">
        <v>112</v>
      </c>
      <c r="AG55" s="20" t="s">
        <v>113</v>
      </c>
      <c r="AH55" s="20" t="s">
        <v>131</v>
      </c>
      <c r="AI55" s="20" t="s">
        <v>113</v>
      </c>
      <c r="AJ55" s="20" t="s">
        <v>207</v>
      </c>
    </row>
    <row r="56" spans="1:36" ht="14.45" customHeight="1" x14ac:dyDescent="0.25">
      <c r="A56" s="7">
        <v>38</v>
      </c>
      <c r="B56" s="97">
        <v>36</v>
      </c>
      <c r="C56" s="4" t="s">
        <v>30</v>
      </c>
      <c r="D56" s="91" t="s">
        <v>11</v>
      </c>
      <c r="E56" s="91" t="s">
        <v>89</v>
      </c>
      <c r="F56" s="4" t="s">
        <v>37</v>
      </c>
      <c r="G56" s="114" t="s">
        <v>131</v>
      </c>
      <c r="H56" s="114" t="s">
        <v>131</v>
      </c>
      <c r="I56" s="109" t="s">
        <v>131</v>
      </c>
      <c r="J56" s="91" t="s">
        <v>90</v>
      </c>
      <c r="K56" s="92">
        <v>13.1</v>
      </c>
      <c r="L56" s="93" t="s">
        <v>77</v>
      </c>
      <c r="M56" s="5"/>
      <c r="N56" s="20" t="s">
        <v>113</v>
      </c>
      <c r="O56" s="20" t="s">
        <v>177</v>
      </c>
      <c r="P56" s="20" t="s">
        <v>113</v>
      </c>
      <c r="Q56" s="20">
        <v>24</v>
      </c>
      <c r="R56" s="20" t="s">
        <v>112</v>
      </c>
      <c r="S56" s="20" t="s">
        <v>131</v>
      </c>
      <c r="T56" s="20" t="s">
        <v>131</v>
      </c>
      <c r="U56" s="20" t="s">
        <v>131</v>
      </c>
      <c r="V56" s="66">
        <v>12081.381461134801</v>
      </c>
      <c r="W56" s="66">
        <v>12081.381461134801</v>
      </c>
      <c r="X56" s="20" t="s">
        <v>131</v>
      </c>
      <c r="Y56" s="20" t="s">
        <v>113</v>
      </c>
      <c r="Z56" s="20" t="s">
        <v>279</v>
      </c>
      <c r="AA56" s="20">
        <v>4</v>
      </c>
      <c r="AB56" s="20">
        <v>3</v>
      </c>
      <c r="AC56" s="20">
        <v>5</v>
      </c>
      <c r="AD56" s="20" t="s">
        <v>131</v>
      </c>
      <c r="AE56" s="20" t="s">
        <v>131</v>
      </c>
      <c r="AF56" s="20" t="s">
        <v>112</v>
      </c>
      <c r="AG56" s="20" t="s">
        <v>113</v>
      </c>
      <c r="AH56" s="20" t="s">
        <v>210</v>
      </c>
      <c r="AI56" s="20" t="s">
        <v>113</v>
      </c>
      <c r="AJ56" s="20" t="s">
        <v>112</v>
      </c>
    </row>
    <row r="57" spans="1:36" ht="14.45" customHeight="1" x14ac:dyDescent="0.25">
      <c r="A57" s="7"/>
      <c r="B57" s="144" t="s">
        <v>337</v>
      </c>
      <c r="C57" s="145"/>
      <c r="D57" s="144"/>
      <c r="E57" s="121"/>
      <c r="F57" s="4"/>
      <c r="G57" s="122">
        <f>SUM(G6:G56)</f>
        <v>9</v>
      </c>
      <c r="H57" s="122">
        <f>SUM(H6:H56)</f>
        <v>6</v>
      </c>
      <c r="I57" s="123"/>
      <c r="J57" s="115"/>
      <c r="K57" s="116"/>
      <c r="L57" s="117"/>
      <c r="M57" s="5"/>
      <c r="N57" s="20"/>
      <c r="O57" s="20"/>
      <c r="P57" s="20"/>
      <c r="Q57" s="20"/>
      <c r="R57" s="20"/>
      <c r="S57" s="20"/>
      <c r="T57" s="20"/>
      <c r="U57" s="20"/>
      <c r="V57" s="66"/>
      <c r="W57" s="66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x14ac:dyDescent="0.25">
      <c r="B58" s="124"/>
      <c r="D58" s="124"/>
      <c r="E58" s="124"/>
      <c r="G58" s="125"/>
      <c r="H58" s="125"/>
      <c r="I58" s="125"/>
    </row>
    <row r="60" spans="1:36" x14ac:dyDescent="0.25">
      <c r="E60" s="80"/>
    </row>
  </sheetData>
  <autoFilter ref="A5:AJ56">
    <filterColumn colId="2">
      <filters>
        <filter val="R"/>
        <filter val="T"/>
      </filters>
    </filterColumn>
    <sortState ref="A3:AJ53">
      <sortCondition ref="L3:L53"/>
      <sortCondition descending="1" ref="K3:K53"/>
    </sortState>
  </autoFilter>
  <mergeCells count="12">
    <mergeCell ref="V2:Y2"/>
    <mergeCell ref="Z2:AC2"/>
    <mergeCell ref="AD2:AE2"/>
    <mergeCell ref="AF2:AJ2"/>
    <mergeCell ref="B57:D57"/>
    <mergeCell ref="B3:I3"/>
    <mergeCell ref="T2:U2"/>
    <mergeCell ref="B1:L1"/>
    <mergeCell ref="B2:L2"/>
    <mergeCell ref="N2:O2"/>
    <mergeCell ref="P2:Q2"/>
    <mergeCell ref="R2:S2"/>
  </mergeCells>
  <printOptions horizontalCentered="1" verticalCentered="1"/>
  <pageMargins left="0.5" right="0.5" top="0.5" bottom="0.5" header="0.25" footer="0.25"/>
  <pageSetup scale="6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7:K43"/>
  <sheetViews>
    <sheetView showGridLines="0" workbookViewId="0">
      <selection activeCell="D15" sqref="D15"/>
    </sheetView>
  </sheetViews>
  <sheetFormatPr defaultRowHeight="15.75" x14ac:dyDescent="0.25"/>
  <cols>
    <col min="1" max="1" width="15.5703125" style="22" customWidth="1"/>
    <col min="2" max="3" width="14.7109375" style="22" customWidth="1"/>
    <col min="4" max="5" width="18.7109375" style="22" customWidth="1"/>
    <col min="6" max="7" width="9.140625" style="22"/>
    <col min="8" max="8" width="49.7109375" style="22" bestFit="1" customWidth="1"/>
    <col min="9" max="9" width="12.140625" style="22" bestFit="1" customWidth="1"/>
    <col min="10" max="10" width="17" style="22" customWidth="1"/>
    <col min="11" max="11" width="27.7109375" style="22" bestFit="1" customWidth="1"/>
    <col min="12" max="16384" width="9.140625" style="22"/>
  </cols>
  <sheetData>
    <row r="7" spans="1:11" ht="15.75" customHeight="1" x14ac:dyDescent="0.25">
      <c r="A7" s="146" t="s">
        <v>136</v>
      </c>
      <c r="B7" s="146"/>
      <c r="C7" s="146"/>
      <c r="D7" s="146"/>
      <c r="E7" s="146"/>
    </row>
    <row r="8" spans="1:11" ht="15.75" customHeight="1" x14ac:dyDescent="0.25">
      <c r="A8" s="139" t="s">
        <v>137</v>
      </c>
      <c r="B8" s="139"/>
      <c r="C8" s="139"/>
      <c r="D8" s="139"/>
      <c r="E8" s="139"/>
    </row>
    <row r="9" spans="1:11" x14ac:dyDescent="0.25">
      <c r="A9" s="147" t="s">
        <v>155</v>
      </c>
      <c r="B9" s="147"/>
      <c r="C9" s="147"/>
      <c r="D9" s="147"/>
      <c r="E9" s="147"/>
    </row>
    <row r="10" spans="1:11" x14ac:dyDescent="0.25">
      <c r="A10" s="54"/>
      <c r="B10" s="54"/>
      <c r="C10" s="54"/>
      <c r="D10" s="54"/>
      <c r="E10" s="54"/>
    </row>
    <row r="11" spans="1:11" ht="31.5" customHeight="1" x14ac:dyDescent="0.25">
      <c r="A11" s="148" t="s">
        <v>267</v>
      </c>
      <c r="B11" s="148"/>
      <c r="C11" s="148"/>
      <c r="D11" s="148"/>
      <c r="E11" s="148"/>
    </row>
    <row r="12" spans="1:11" x14ac:dyDescent="0.25">
      <c r="D12" s="35"/>
    </row>
    <row r="13" spans="1:11" x14ac:dyDescent="0.25">
      <c r="A13" s="57" t="s">
        <v>187</v>
      </c>
      <c r="D13" s="35"/>
    </row>
    <row r="14" spans="1:11" ht="31.5" x14ac:dyDescent="0.25">
      <c r="A14" s="31" t="s">
        <v>147</v>
      </c>
      <c r="B14" s="37" t="s">
        <v>157</v>
      </c>
      <c r="C14" s="37" t="s">
        <v>146</v>
      </c>
      <c r="D14" s="37" t="s">
        <v>135</v>
      </c>
      <c r="E14" s="37" t="s">
        <v>138</v>
      </c>
      <c r="H14" s="46" t="s">
        <v>146</v>
      </c>
    </row>
    <row r="15" spans="1:11" x14ac:dyDescent="0.25">
      <c r="A15" s="22" t="s">
        <v>132</v>
      </c>
      <c r="B15" s="23">
        <f>COUNTIFS('Data-Projects'!C3:C53,"T",'Data-Projects'!K3:K53,"Y")</f>
        <v>1</v>
      </c>
      <c r="C15" s="24">
        <f>B15/$B$18</f>
        <v>0.1</v>
      </c>
      <c r="D15" s="29">
        <f>SUMIFS('Data-Projects'!H3:H53,'Data-Projects'!C3:C53,"T",'Data-Projects'!K3:K53,"Y")</f>
        <v>30.6</v>
      </c>
      <c r="E15" s="24">
        <f>D15/$D$18</f>
        <v>3.6415565869332381E-2</v>
      </c>
      <c r="I15" s="23" t="s">
        <v>148</v>
      </c>
      <c r="J15" s="23" t="s">
        <v>149</v>
      </c>
      <c r="K15" s="23" t="s">
        <v>150</v>
      </c>
    </row>
    <row r="16" spans="1:11" ht="18.75" x14ac:dyDescent="0.25">
      <c r="A16" s="22" t="s">
        <v>144</v>
      </c>
      <c r="B16" s="23">
        <f>COUNTIFS('Data-Projects'!C3:C53,"T",'Data-Projects'!K3:K53,"P")</f>
        <v>8</v>
      </c>
      <c r="C16" s="24">
        <f>B16/$B$18</f>
        <v>0.8</v>
      </c>
      <c r="D16" s="29">
        <f>SUMIFS('Data-Projects'!H3:H53,'Data-Projects'!C3:C53,"T",'Data-Projects'!K3:K53,"P")</f>
        <v>804</v>
      </c>
      <c r="E16" s="24">
        <f>D16/$D$18</f>
        <v>0.95680114244912529</v>
      </c>
      <c r="H16" s="22" t="s">
        <v>191</v>
      </c>
      <c r="I16" s="24">
        <f>C15</f>
        <v>0.1</v>
      </c>
      <c r="J16" s="24">
        <f>C16</f>
        <v>0.8</v>
      </c>
      <c r="K16" s="24">
        <f>C17</f>
        <v>0.1</v>
      </c>
    </row>
    <row r="17" spans="1:11" x14ac:dyDescent="0.25">
      <c r="A17" s="26" t="s">
        <v>133</v>
      </c>
      <c r="B17" s="27">
        <f>COUNTIFS('Data-Projects'!C3:C53,"T",'Data-Projects'!K3:K53,"N")</f>
        <v>1</v>
      </c>
      <c r="C17" s="28">
        <f>B17/$B$18</f>
        <v>0.1</v>
      </c>
      <c r="D17" s="30">
        <f>SUMIFS('Data-Projects'!H3:H53,'Data-Projects'!C3:C53,"T",'Data-Projects'!K3:K53,"N")</f>
        <v>5.7</v>
      </c>
      <c r="E17" s="28">
        <f>D17/$D$18</f>
        <v>6.7832916815423056E-3</v>
      </c>
      <c r="H17" s="22" t="s">
        <v>194</v>
      </c>
      <c r="I17" s="24">
        <f>C23</f>
        <v>0.68421052631578949</v>
      </c>
      <c r="J17" s="24">
        <f>C24</f>
        <v>0</v>
      </c>
      <c r="K17" s="24">
        <f>C25</f>
        <v>0.31578947368421051</v>
      </c>
    </row>
    <row r="18" spans="1:11" x14ac:dyDescent="0.25">
      <c r="A18" s="38" t="s">
        <v>134</v>
      </c>
      <c r="B18" s="39">
        <f>SUM(B15:B17)</f>
        <v>10</v>
      </c>
      <c r="C18" s="40">
        <f>SUM(C15:C17)</f>
        <v>1</v>
      </c>
      <c r="D18" s="41">
        <f>SUM(D15:D17)</f>
        <v>840.30000000000007</v>
      </c>
      <c r="E18" s="40">
        <f>SUM(E15:E17)</f>
        <v>1</v>
      </c>
      <c r="H18" s="22" t="s">
        <v>193</v>
      </c>
      <c r="I18" s="24">
        <f>C31</f>
        <v>0.3</v>
      </c>
      <c r="J18" s="24">
        <f>C32</f>
        <v>0.7</v>
      </c>
      <c r="K18" s="24">
        <f>C33</f>
        <v>0</v>
      </c>
    </row>
    <row r="19" spans="1:11" ht="16.5" x14ac:dyDescent="0.25">
      <c r="A19" s="21" t="s">
        <v>139</v>
      </c>
      <c r="H19" s="22" t="s">
        <v>192</v>
      </c>
      <c r="I19" s="24">
        <f>C39</f>
        <v>0.63157894736842102</v>
      </c>
      <c r="J19" s="24">
        <f>C40</f>
        <v>0</v>
      </c>
      <c r="K19" s="24">
        <f>C41</f>
        <v>0.36842105263157893</v>
      </c>
    </row>
    <row r="20" spans="1:11" x14ac:dyDescent="0.25">
      <c r="D20" s="35"/>
    </row>
    <row r="21" spans="1:11" ht="19.5" customHeight="1" x14ac:dyDescent="0.25">
      <c r="A21" s="57" t="s">
        <v>188</v>
      </c>
      <c r="B21" s="26"/>
      <c r="C21" s="26"/>
      <c r="D21" s="26"/>
      <c r="E21" s="26"/>
    </row>
    <row r="22" spans="1:11" ht="31.5" customHeight="1" x14ac:dyDescent="0.25">
      <c r="A22" s="31" t="s">
        <v>147</v>
      </c>
      <c r="B22" s="37" t="s">
        <v>157</v>
      </c>
      <c r="C22" s="37" t="s">
        <v>146</v>
      </c>
      <c r="D22" s="37" t="s">
        <v>135</v>
      </c>
      <c r="E22" s="37" t="s">
        <v>138</v>
      </c>
    </row>
    <row r="23" spans="1:11" ht="19.5" customHeight="1" x14ac:dyDescent="0.25">
      <c r="A23" s="22" t="s">
        <v>132</v>
      </c>
      <c r="B23" s="23">
        <f>COUNTIFS('Data-Projects'!C3:C53,"R",'Data-Projects'!K3:K53,"Y")</f>
        <v>26</v>
      </c>
      <c r="C23" s="24">
        <f>B23/$B$26</f>
        <v>0.68421052631578949</v>
      </c>
      <c r="D23" s="29">
        <f>SUMIFS('Data-Projects'!H3:H53,'Data-Projects'!C3:C53,"R",'Data-Projects'!K3:K53,"Y")</f>
        <v>558.60000000000014</v>
      </c>
      <c r="E23" s="24">
        <f>D23/$D$26</f>
        <v>0.82122905027932958</v>
      </c>
      <c r="H23" s="46" t="s">
        <v>138</v>
      </c>
    </row>
    <row r="24" spans="1:11" ht="19.5" customHeight="1" x14ac:dyDescent="0.25">
      <c r="A24" s="22" t="s">
        <v>144</v>
      </c>
      <c r="B24" s="23">
        <f>COUNTIFS('Data-Projects'!C3:C53,"R",'Data-Projects'!K3:K53,"P")</f>
        <v>0</v>
      </c>
      <c r="C24" s="24">
        <f>B24/$B$26</f>
        <v>0</v>
      </c>
      <c r="D24" s="29">
        <f>SUMIFS('Data-Projects'!H3:H53,'Data-Projects'!C3:C53,"R",'Data-Projects'!K3:K53,"P")</f>
        <v>0</v>
      </c>
      <c r="E24" s="24">
        <f>D24/$D$26</f>
        <v>0</v>
      </c>
      <c r="I24" s="23" t="s">
        <v>148</v>
      </c>
      <c r="J24" s="23" t="s">
        <v>149</v>
      </c>
      <c r="K24" s="23" t="s">
        <v>150</v>
      </c>
    </row>
    <row r="25" spans="1:11" ht="19.5" customHeight="1" x14ac:dyDescent="0.25">
      <c r="A25" s="26" t="s">
        <v>133</v>
      </c>
      <c r="B25" s="27">
        <f>COUNTIFS('Data-Projects'!C3:C53,"R",'Data-Projects'!K3:K53,"N")</f>
        <v>12</v>
      </c>
      <c r="C25" s="28">
        <f>B25/$B$26</f>
        <v>0.31578947368421051</v>
      </c>
      <c r="D25" s="30">
        <f>SUMIFS('Data-Projects'!H3:H53,'Data-Projects'!C3:C53,"R",'Data-Projects'!K3:K53,"N")</f>
        <v>121.6</v>
      </c>
      <c r="E25" s="28">
        <f>D25/$D$26</f>
        <v>0.17877094972067034</v>
      </c>
      <c r="H25" s="22" t="s">
        <v>191</v>
      </c>
      <c r="I25" s="24">
        <f>E15</f>
        <v>3.6415565869332381E-2</v>
      </c>
      <c r="J25" s="24">
        <f>E16</f>
        <v>0.95680114244912529</v>
      </c>
      <c r="K25" s="24">
        <f>E17</f>
        <v>6.7832916815423056E-3</v>
      </c>
    </row>
    <row r="26" spans="1:11" ht="19.5" customHeight="1" x14ac:dyDescent="0.25">
      <c r="A26" s="38" t="s">
        <v>134</v>
      </c>
      <c r="B26" s="39">
        <f>SUM(B23:B25)</f>
        <v>38</v>
      </c>
      <c r="C26" s="40">
        <f>SUM(C23:C25)</f>
        <v>1</v>
      </c>
      <c r="D26" s="41">
        <f>SUM(D23:D25)</f>
        <v>680.20000000000016</v>
      </c>
      <c r="E26" s="40">
        <f>SUM(E23:E25)</f>
        <v>0.99999999999999989</v>
      </c>
      <c r="H26" s="22" t="s">
        <v>194</v>
      </c>
      <c r="I26" s="24">
        <f>E23</f>
        <v>0.82122905027932958</v>
      </c>
      <c r="J26" s="24">
        <f>E24</f>
        <v>0</v>
      </c>
      <c r="K26" s="24">
        <f>E25</f>
        <v>0.17877094972067034</v>
      </c>
    </row>
    <row r="27" spans="1:11" ht="19.5" customHeight="1" x14ac:dyDescent="0.25">
      <c r="A27" s="21" t="s">
        <v>139</v>
      </c>
      <c r="H27" s="22" t="s">
        <v>193</v>
      </c>
      <c r="I27" s="24">
        <f>E31</f>
        <v>0.20825895513507081</v>
      </c>
      <c r="J27" s="24">
        <f>E32</f>
        <v>0.79174104486492913</v>
      </c>
      <c r="K27" s="24">
        <f>E33</f>
        <v>0</v>
      </c>
    </row>
    <row r="28" spans="1:11" x14ac:dyDescent="0.25">
      <c r="H28" s="22" t="s">
        <v>192</v>
      </c>
      <c r="I28" s="24">
        <f>E39</f>
        <v>0.76359894148779783</v>
      </c>
      <c r="J28" s="24">
        <f>E40</f>
        <v>0</v>
      </c>
      <c r="K28" s="24">
        <f>E41</f>
        <v>0.23640105851220225</v>
      </c>
    </row>
    <row r="29" spans="1:11" ht="19.5" customHeight="1" x14ac:dyDescent="0.25">
      <c r="A29" s="25" t="s">
        <v>189</v>
      </c>
      <c r="B29" s="26"/>
      <c r="C29" s="26"/>
      <c r="D29" s="26"/>
      <c r="E29" s="26"/>
    </row>
    <row r="30" spans="1:11" ht="31.5" customHeight="1" x14ac:dyDescent="0.25">
      <c r="A30" s="31" t="s">
        <v>147</v>
      </c>
      <c r="B30" s="37" t="s">
        <v>157</v>
      </c>
      <c r="C30" s="37" t="s">
        <v>146</v>
      </c>
      <c r="D30" s="37" t="s">
        <v>135</v>
      </c>
      <c r="E30" s="37" t="s">
        <v>138</v>
      </c>
    </row>
    <row r="31" spans="1:11" ht="19.5" customHeight="1" x14ac:dyDescent="0.25">
      <c r="A31" s="22" t="s">
        <v>132</v>
      </c>
      <c r="B31" s="23">
        <f>COUNTIFS('Data-Projects'!C3:C53,"T",'Data-Projects'!O3:O53,"Y")</f>
        <v>3</v>
      </c>
      <c r="C31" s="24">
        <f>B31/$B$34</f>
        <v>0.3</v>
      </c>
      <c r="D31" s="29">
        <f>SUMIFS('Data-Projects'!H3:H53,'Data-Projects'!C3:C53,"T",'Data-Projects'!O3:O53,"Y")</f>
        <v>175</v>
      </c>
      <c r="E31" s="24">
        <f>D31/$D$34</f>
        <v>0.20825895513507081</v>
      </c>
    </row>
    <row r="32" spans="1:11" ht="19.5" customHeight="1" x14ac:dyDescent="0.25">
      <c r="A32" s="22" t="s">
        <v>144</v>
      </c>
      <c r="B32" s="23">
        <f>COUNTIFS('Data-Projects'!C3:C53,"T",'Data-Projects'!O3:O53,"P")</f>
        <v>7</v>
      </c>
      <c r="C32" s="24">
        <f t="shared" ref="C32:C33" si="0">B32/$B$34</f>
        <v>0.7</v>
      </c>
      <c r="D32" s="29">
        <f>SUMIFS('Data-Projects'!H3:H53,'Data-Projects'!C3:C53,"T",'Data-Projects'!O3:O53,"P")</f>
        <v>665.3</v>
      </c>
      <c r="E32" s="24">
        <f t="shared" ref="E32:E33" si="1">D32/$D$34</f>
        <v>0.79174104486492913</v>
      </c>
    </row>
    <row r="33" spans="1:5" ht="19.5" customHeight="1" x14ac:dyDescent="0.25">
      <c r="A33" s="26" t="s">
        <v>133</v>
      </c>
      <c r="B33" s="27">
        <f>COUNTIFS('Data-Projects'!C3:C53,"T",'Data-Projects'!O3:O53,"N")</f>
        <v>0</v>
      </c>
      <c r="C33" s="28">
        <f t="shared" si="0"/>
        <v>0</v>
      </c>
      <c r="D33" s="30">
        <f>SUMIFS('Data-Projects'!H3:H53,'Data-Projects'!C3:C53,"T",'Data-Projects'!O3:O53,"N")</f>
        <v>0</v>
      </c>
      <c r="E33" s="28">
        <f t="shared" si="1"/>
        <v>0</v>
      </c>
    </row>
    <row r="34" spans="1:5" ht="19.5" customHeight="1" x14ac:dyDescent="0.25">
      <c r="A34" s="38" t="s">
        <v>134</v>
      </c>
      <c r="B34" s="39">
        <f>SUM(B31:B33)</f>
        <v>10</v>
      </c>
      <c r="C34" s="40">
        <f>SUM(C31:C33)</f>
        <v>1</v>
      </c>
      <c r="D34" s="41">
        <f t="shared" ref="D34:E34" si="2">SUM(D31:D33)</f>
        <v>840.3</v>
      </c>
      <c r="E34" s="40">
        <f t="shared" si="2"/>
        <v>1</v>
      </c>
    </row>
    <row r="35" spans="1:5" ht="19.5" customHeight="1" x14ac:dyDescent="0.25">
      <c r="A35" s="21" t="s">
        <v>139</v>
      </c>
    </row>
    <row r="37" spans="1:5" ht="19.5" customHeight="1" x14ac:dyDescent="0.25">
      <c r="A37" s="25" t="s">
        <v>190</v>
      </c>
      <c r="B37" s="26"/>
      <c r="C37" s="26"/>
      <c r="D37" s="26"/>
      <c r="E37" s="26"/>
    </row>
    <row r="38" spans="1:5" ht="31.5" customHeight="1" x14ac:dyDescent="0.25">
      <c r="A38" s="31" t="s">
        <v>147</v>
      </c>
      <c r="B38" s="37" t="s">
        <v>157</v>
      </c>
      <c r="C38" s="37" t="s">
        <v>146</v>
      </c>
      <c r="D38" s="37" t="s">
        <v>135</v>
      </c>
      <c r="E38" s="37" t="s">
        <v>138</v>
      </c>
    </row>
    <row r="39" spans="1:5" ht="19.5" customHeight="1" x14ac:dyDescent="0.25">
      <c r="A39" s="22" t="s">
        <v>140</v>
      </c>
      <c r="B39" s="23">
        <f>COUNTIFS('Data-Projects'!C3:C53,"R",'Data-Projects'!O3:O53,"Y")</f>
        <v>24</v>
      </c>
      <c r="C39" s="24">
        <f>B39/$B$42</f>
        <v>0.63157894736842102</v>
      </c>
      <c r="D39" s="29">
        <f>SUMIFS('Data-Projects'!H3:H53,'Data-Projects'!C3:C53,"R",'Data-Projects'!O3:O53,"Y")</f>
        <v>519.40000000000009</v>
      </c>
      <c r="E39" s="24">
        <f>D39/$D$42</f>
        <v>0.76359894148779783</v>
      </c>
    </row>
    <row r="40" spans="1:5" ht="19.5" customHeight="1" x14ac:dyDescent="0.25">
      <c r="A40" s="22" t="s">
        <v>145</v>
      </c>
      <c r="B40" s="23">
        <f>COUNTIFS('Data-Projects'!C3:C53,"R",'Data-Projects'!O3:O53,"P")</f>
        <v>0</v>
      </c>
      <c r="C40" s="24">
        <f t="shared" ref="C40:C41" si="3">B40/$B$42</f>
        <v>0</v>
      </c>
      <c r="D40" s="29">
        <f>SUMIFS('Data-Projects'!H3:H53,'Data-Projects'!C3:C53,"R",'Data-Projects'!O3:O53,"P")</f>
        <v>0</v>
      </c>
      <c r="E40" s="24">
        <f t="shared" ref="E40:E41" si="4">D40/$D$42</f>
        <v>0</v>
      </c>
    </row>
    <row r="41" spans="1:5" ht="19.5" customHeight="1" x14ac:dyDescent="0.25">
      <c r="A41" s="26" t="s">
        <v>133</v>
      </c>
      <c r="B41" s="27">
        <f>COUNTIFS('Data-Projects'!C3:C53,"R",'Data-Projects'!O3:O53,"N")</f>
        <v>14</v>
      </c>
      <c r="C41" s="24">
        <f t="shared" si="3"/>
        <v>0.36842105263157893</v>
      </c>
      <c r="D41" s="30">
        <f>SUMIFS('Data-Projects'!H3:H53,'Data-Projects'!C3:C53,"R",'Data-Projects'!O3:O53,"N")</f>
        <v>160.79999999999998</v>
      </c>
      <c r="E41" s="28">
        <f t="shared" si="4"/>
        <v>0.23640105851220225</v>
      </c>
    </row>
    <row r="42" spans="1:5" ht="19.5" customHeight="1" x14ac:dyDescent="0.25">
      <c r="A42" s="38" t="s">
        <v>134</v>
      </c>
      <c r="B42" s="39">
        <f>SUM(B39:B41)</f>
        <v>38</v>
      </c>
      <c r="C42" s="40">
        <f>SUM(C39:C41)</f>
        <v>1</v>
      </c>
      <c r="D42" s="41">
        <f t="shared" ref="D42:E42" si="5">SUM(D39:D41)</f>
        <v>680.2</v>
      </c>
      <c r="E42" s="40">
        <f t="shared" si="5"/>
        <v>1</v>
      </c>
    </row>
    <row r="43" spans="1:5" ht="16.5" x14ac:dyDescent="0.25">
      <c r="A43" s="21" t="s">
        <v>139</v>
      </c>
    </row>
  </sheetData>
  <mergeCells count="4">
    <mergeCell ref="A7:E7"/>
    <mergeCell ref="A8:E8"/>
    <mergeCell ref="A9:E9"/>
    <mergeCell ref="A11:E11"/>
  </mergeCells>
  <printOptions horizontalCentered="1" verticalCentered="1"/>
  <pageMargins left="0.5" right="0.5" top="0.5" bottom="0.5" header="0.25" footer="0.25"/>
  <pageSetup scale="90" orientation="portrait" r:id="rId1"/>
  <headerFooter>
    <oddFooter>&amp;C&amp;"Tw Cen MT,Regular"&amp;12&amp;P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7:K44"/>
  <sheetViews>
    <sheetView showGridLines="0" workbookViewId="0">
      <selection activeCell="A11" sqref="A11:E11"/>
    </sheetView>
  </sheetViews>
  <sheetFormatPr defaultRowHeight="15.75" x14ac:dyDescent="0.25"/>
  <cols>
    <col min="1" max="1" width="15.5703125" style="22" customWidth="1"/>
    <col min="2" max="3" width="14.7109375" style="22" customWidth="1"/>
    <col min="4" max="5" width="18.7109375" style="22" customWidth="1"/>
    <col min="6" max="7" width="9.140625" style="22"/>
    <col min="8" max="8" width="43" style="22" bestFit="1" customWidth="1"/>
    <col min="9" max="9" width="12.140625" style="22" bestFit="1" customWidth="1"/>
    <col min="10" max="10" width="17" style="22" customWidth="1"/>
    <col min="11" max="11" width="27.7109375" style="22" bestFit="1" customWidth="1"/>
    <col min="12" max="16384" width="9.140625" style="22"/>
  </cols>
  <sheetData>
    <row r="7" spans="1:11" ht="15.75" customHeight="1" x14ac:dyDescent="0.25">
      <c r="A7" s="146" t="s">
        <v>136</v>
      </c>
      <c r="B7" s="146"/>
      <c r="C7" s="146"/>
      <c r="D7" s="146"/>
      <c r="E7" s="146"/>
    </row>
    <row r="8" spans="1:11" ht="15.75" customHeight="1" x14ac:dyDescent="0.25">
      <c r="A8" s="139" t="s">
        <v>137</v>
      </c>
      <c r="B8" s="139"/>
      <c r="C8" s="139"/>
      <c r="D8" s="139"/>
      <c r="E8" s="139"/>
    </row>
    <row r="9" spans="1:11" x14ac:dyDescent="0.25">
      <c r="A9" s="147" t="s">
        <v>155</v>
      </c>
      <c r="B9" s="147"/>
      <c r="C9" s="147"/>
      <c r="D9" s="147"/>
      <c r="E9" s="147"/>
    </row>
    <row r="10" spans="1:11" x14ac:dyDescent="0.25">
      <c r="A10" s="36"/>
      <c r="B10" s="36"/>
      <c r="C10" s="36"/>
      <c r="D10" s="36"/>
      <c r="E10" s="36"/>
    </row>
    <row r="11" spans="1:11" ht="31.5" customHeight="1" x14ac:dyDescent="0.25">
      <c r="A11" s="148" t="s">
        <v>266</v>
      </c>
      <c r="B11" s="148"/>
      <c r="C11" s="148"/>
      <c r="D11" s="148"/>
      <c r="E11" s="148"/>
    </row>
    <row r="12" spans="1:11" x14ac:dyDescent="0.25">
      <c r="D12" s="35"/>
    </row>
    <row r="13" spans="1:11" x14ac:dyDescent="0.25">
      <c r="A13" s="57" t="s">
        <v>182</v>
      </c>
      <c r="D13" s="35"/>
    </row>
    <row r="14" spans="1:11" ht="31.5" x14ac:dyDescent="0.25">
      <c r="A14" s="31" t="s">
        <v>147</v>
      </c>
      <c r="B14" s="37" t="s">
        <v>157</v>
      </c>
      <c r="C14" s="37" t="s">
        <v>146</v>
      </c>
      <c r="D14" s="37" t="s">
        <v>135</v>
      </c>
      <c r="E14" s="37" t="s">
        <v>138</v>
      </c>
      <c r="H14" s="46" t="s">
        <v>146</v>
      </c>
    </row>
    <row r="15" spans="1:11" x14ac:dyDescent="0.25">
      <c r="A15" s="22" t="s">
        <v>132</v>
      </c>
      <c r="B15" s="23">
        <f>COUNTIFS('Data-Projects'!K3:K53,"Y")</f>
        <v>27</v>
      </c>
      <c r="C15" s="24">
        <f>B15/$B$26</f>
        <v>0.5625</v>
      </c>
      <c r="D15" s="29">
        <f>SUMIFS('Data-Projects'!H3:H53,'Data-Projects'!K3:K53,"Y")</f>
        <v>589.20000000000005</v>
      </c>
      <c r="E15" s="24">
        <f>D15/$D$18</f>
        <v>0.38750411048997041</v>
      </c>
      <c r="I15" s="23" t="s">
        <v>148</v>
      </c>
      <c r="J15" s="23" t="s">
        <v>149</v>
      </c>
      <c r="K15" s="23" t="s">
        <v>150</v>
      </c>
    </row>
    <row r="16" spans="1:11" ht="18.75" x14ac:dyDescent="0.25">
      <c r="A16" s="22" t="s">
        <v>144</v>
      </c>
      <c r="B16" s="23">
        <f>COUNTIFS('Data-Projects'!K3:K53,"P")</f>
        <v>8</v>
      </c>
      <c r="C16" s="24">
        <f>B16/$B$26</f>
        <v>0.16666666666666666</v>
      </c>
      <c r="D16" s="29">
        <f>SUMIFS('Data-Projects'!H3:H53,'Data-Projects'!K3:K53,"P")</f>
        <v>804</v>
      </c>
      <c r="E16" s="24">
        <f>D16/$D$18</f>
        <v>0.52877342979283126</v>
      </c>
      <c r="H16" s="22" t="s">
        <v>186</v>
      </c>
      <c r="I16" s="24">
        <f>C15</f>
        <v>0.5625</v>
      </c>
      <c r="J16" s="24">
        <f>C16</f>
        <v>0.16666666666666666</v>
      </c>
      <c r="K16" s="24">
        <f>C17</f>
        <v>0.27083333333333331</v>
      </c>
    </row>
    <row r="17" spans="1:11" x14ac:dyDescent="0.25">
      <c r="A17" s="26" t="s">
        <v>133</v>
      </c>
      <c r="B17" s="27">
        <f>COUNTIFS('Data-Projects'!K3:K53,"N")</f>
        <v>13</v>
      </c>
      <c r="C17" s="28">
        <f>B17/$B$26</f>
        <v>0.27083333333333331</v>
      </c>
      <c r="D17" s="30">
        <f>SUMIFS('Data-Projects'!H3:H53,'Data-Projects'!K3:K53,"N")</f>
        <v>127.30000000000001</v>
      </c>
      <c r="E17" s="28">
        <f>D17/$D$18</f>
        <v>8.37224597171983E-2</v>
      </c>
      <c r="H17" s="22" t="s">
        <v>153</v>
      </c>
      <c r="I17" s="24">
        <f>C23</f>
        <v>0.5625</v>
      </c>
      <c r="J17" s="24">
        <f>C24</f>
        <v>0.14583333333333334</v>
      </c>
      <c r="K17" s="24">
        <f>C25</f>
        <v>0.29166666666666669</v>
      </c>
    </row>
    <row r="18" spans="1:11" x14ac:dyDescent="0.25">
      <c r="A18" s="38" t="s">
        <v>134</v>
      </c>
      <c r="B18" s="39">
        <f>SUM(B15:B17)</f>
        <v>48</v>
      </c>
      <c r="C18" s="40">
        <f>SUM(C15:C17)</f>
        <v>1</v>
      </c>
      <c r="D18" s="41">
        <f>SUM(D15:D17)</f>
        <v>1520.5</v>
      </c>
      <c r="E18" s="40">
        <f>SUM(E15:E17)</f>
        <v>0.99999999999999989</v>
      </c>
      <c r="H18" s="22" t="s">
        <v>152</v>
      </c>
      <c r="I18" s="24">
        <f>C31</f>
        <v>0.44736842105263158</v>
      </c>
      <c r="J18" s="24">
        <f>C32</f>
        <v>2.6315789473684209E-2</v>
      </c>
      <c r="K18" s="24">
        <f>C33</f>
        <v>0.52631578947368418</v>
      </c>
    </row>
    <row r="19" spans="1:11" ht="16.5" x14ac:dyDescent="0.25">
      <c r="A19" s="21" t="s">
        <v>139</v>
      </c>
      <c r="H19" s="22" t="s">
        <v>151</v>
      </c>
      <c r="I19" s="24">
        <f>C39</f>
        <v>0.7</v>
      </c>
      <c r="J19" s="24">
        <f>C40</f>
        <v>0.1</v>
      </c>
      <c r="K19" s="24">
        <f>C41</f>
        <v>0.2</v>
      </c>
    </row>
    <row r="20" spans="1:11" x14ac:dyDescent="0.25">
      <c r="D20" s="35"/>
    </row>
    <row r="21" spans="1:11" ht="19.5" customHeight="1" x14ac:dyDescent="0.25">
      <c r="A21" s="25" t="s">
        <v>183</v>
      </c>
      <c r="B21" s="26"/>
      <c r="C21" s="26"/>
      <c r="D21" s="26"/>
      <c r="E21" s="26"/>
    </row>
    <row r="22" spans="1:11" ht="31.5" customHeight="1" x14ac:dyDescent="0.25">
      <c r="A22" s="31" t="s">
        <v>147</v>
      </c>
      <c r="B22" s="37" t="s">
        <v>157</v>
      </c>
      <c r="C22" s="37" t="s">
        <v>146</v>
      </c>
      <c r="D22" s="37" t="s">
        <v>135</v>
      </c>
      <c r="E22" s="37" t="s">
        <v>138</v>
      </c>
    </row>
    <row r="23" spans="1:11" ht="19.5" customHeight="1" x14ac:dyDescent="0.25">
      <c r="A23" s="22" t="s">
        <v>132</v>
      </c>
      <c r="B23" s="23">
        <f>COUNTIFS('Data-Projects'!O3:O53,"Y")</f>
        <v>27</v>
      </c>
      <c r="C23" s="24">
        <f>B23/$B$26</f>
        <v>0.5625</v>
      </c>
      <c r="D23" s="29">
        <f>SUMIFS('Data-Projects'!H3:H53,'Data-Projects'!O3:O53,"Y")</f>
        <v>694.39999999999986</v>
      </c>
      <c r="E23" s="24">
        <f>D23/$D$26</f>
        <v>0.45669187767181846</v>
      </c>
      <c r="H23" s="46" t="s">
        <v>138</v>
      </c>
    </row>
    <row r="24" spans="1:11" ht="19.5" customHeight="1" x14ac:dyDescent="0.25">
      <c r="A24" s="22" t="s">
        <v>144</v>
      </c>
      <c r="B24" s="23">
        <f>COUNTIFS('Data-Projects'!O3:O53,"P")</f>
        <v>7</v>
      </c>
      <c r="C24" s="24">
        <f>B24/$B$26</f>
        <v>0.14583333333333334</v>
      </c>
      <c r="D24" s="29">
        <f>SUMIFS('Data-Projects'!H3:H53,'Data-Projects'!O3:O53,"P")</f>
        <v>665.3</v>
      </c>
      <c r="E24" s="24">
        <f>D24/$D$26</f>
        <v>0.4375534363696153</v>
      </c>
      <c r="I24" s="23" t="s">
        <v>148</v>
      </c>
      <c r="J24" s="23" t="s">
        <v>149</v>
      </c>
      <c r="K24" s="23" t="s">
        <v>150</v>
      </c>
    </row>
    <row r="25" spans="1:11" ht="19.5" customHeight="1" x14ac:dyDescent="0.25">
      <c r="A25" s="26" t="s">
        <v>133</v>
      </c>
      <c r="B25" s="27">
        <f>COUNTIFS('Data-Projects'!O3:O53,"N")</f>
        <v>14</v>
      </c>
      <c r="C25" s="28">
        <f>B25/$B$26</f>
        <v>0.29166666666666669</v>
      </c>
      <c r="D25" s="30">
        <f>SUMIFS('Data-Projects'!H3:H53,'Data-Projects'!O3:O53,"N")</f>
        <v>160.79999999999998</v>
      </c>
      <c r="E25" s="28">
        <f>D25/$D$26</f>
        <v>0.10575468595856627</v>
      </c>
      <c r="H25" s="22" t="s">
        <v>186</v>
      </c>
      <c r="I25" s="24">
        <f>E15</f>
        <v>0.38750411048997041</v>
      </c>
      <c r="J25" s="24">
        <f>E16</f>
        <v>0.52877342979283126</v>
      </c>
      <c r="K25" s="24">
        <f>E17</f>
        <v>8.37224597171983E-2</v>
      </c>
    </row>
    <row r="26" spans="1:11" ht="19.5" customHeight="1" x14ac:dyDescent="0.25">
      <c r="A26" s="38" t="s">
        <v>134</v>
      </c>
      <c r="B26" s="39">
        <f>SUM(B23:B25)</f>
        <v>48</v>
      </c>
      <c r="C26" s="40">
        <f>SUM(C23:C25)</f>
        <v>1</v>
      </c>
      <c r="D26" s="41">
        <f>SUM(D23:D25)</f>
        <v>1520.4999999999998</v>
      </c>
      <c r="E26" s="40">
        <f>SUM(E23:E25)</f>
        <v>1</v>
      </c>
      <c r="H26" s="22" t="s">
        <v>153</v>
      </c>
      <c r="I26" s="24">
        <f>E23</f>
        <v>0.45669187767181846</v>
      </c>
      <c r="J26" s="24">
        <f>E24</f>
        <v>0.4375534363696153</v>
      </c>
      <c r="K26" s="24">
        <f>E25</f>
        <v>0.10575468595856627</v>
      </c>
    </row>
    <row r="27" spans="1:11" ht="19.5" customHeight="1" x14ac:dyDescent="0.25">
      <c r="A27" s="21" t="s">
        <v>139</v>
      </c>
      <c r="H27" s="22" t="s">
        <v>152</v>
      </c>
      <c r="I27" s="24">
        <f>E31</f>
        <v>0.49838282857982952</v>
      </c>
      <c r="J27" s="24">
        <f>E32</f>
        <v>8.8209350191120251E-4</v>
      </c>
      <c r="K27" s="24">
        <f>E33</f>
        <v>0.50073507791825933</v>
      </c>
    </row>
    <row r="28" spans="1:11" x14ac:dyDescent="0.25">
      <c r="H28" s="22" t="s">
        <v>151</v>
      </c>
      <c r="I28" s="24">
        <f>E39</f>
        <v>0.98131619659645375</v>
      </c>
      <c r="J28" s="24">
        <f>E40</f>
        <v>7.0213019159823878E-3</v>
      </c>
      <c r="K28" s="24">
        <f>E41</f>
        <v>1.1662501487563967E-2</v>
      </c>
    </row>
    <row r="29" spans="1:11" ht="19.5" customHeight="1" x14ac:dyDescent="0.25">
      <c r="A29" s="25" t="s">
        <v>184</v>
      </c>
      <c r="B29" s="26"/>
      <c r="C29" s="26"/>
      <c r="D29" s="26"/>
      <c r="E29" s="26"/>
    </row>
    <row r="30" spans="1:11" ht="31.5" customHeight="1" x14ac:dyDescent="0.25">
      <c r="A30" s="31" t="s">
        <v>147</v>
      </c>
      <c r="B30" s="37" t="s">
        <v>157</v>
      </c>
      <c r="C30" s="37" t="s">
        <v>146</v>
      </c>
      <c r="D30" s="37" t="s">
        <v>135</v>
      </c>
      <c r="E30" s="37" t="s">
        <v>138</v>
      </c>
    </row>
    <row r="31" spans="1:11" ht="19.5" customHeight="1" x14ac:dyDescent="0.25">
      <c r="A31" s="22" t="s">
        <v>132</v>
      </c>
      <c r="B31" s="23">
        <f>COUNTIFS('Data-Projects'!C3:C53,"R",'Data-Projects'!Q3:Q53,"Y")</f>
        <v>17</v>
      </c>
      <c r="C31" s="24">
        <f>B31/$B$34</f>
        <v>0.44736842105263158</v>
      </c>
      <c r="D31" s="29">
        <f>SUMIFS('Data-Projects'!H3:H53,'Data-Projects'!C3:C53,"R",'Data-Projects'!Q3:Q53,"Y")</f>
        <v>339.00000000000006</v>
      </c>
      <c r="E31" s="24">
        <f>D31/$D$34</f>
        <v>0.49838282857982952</v>
      </c>
    </row>
    <row r="32" spans="1:11" ht="19.5" customHeight="1" x14ac:dyDescent="0.25">
      <c r="A32" s="22" t="s">
        <v>144</v>
      </c>
      <c r="B32" s="23">
        <f>COUNTIFS('Data-Projects'!C3:C53,"R",'Data-Projects'!Q3:Q53,"P")</f>
        <v>1</v>
      </c>
      <c r="C32" s="24">
        <f t="shared" ref="C32:C33" si="0">B32/$B$34</f>
        <v>2.6315789473684209E-2</v>
      </c>
      <c r="D32" s="29">
        <f>SUMIFS('Data-Projects'!H3:H53,'Data-Projects'!C3:C53,"R",'Data-Projects'!Q3:Q53,"P")</f>
        <v>0.6</v>
      </c>
      <c r="E32" s="24">
        <f t="shared" ref="E32:E33" si="1">D32/$D$34</f>
        <v>8.8209350191120251E-4</v>
      </c>
    </row>
    <row r="33" spans="1:5" ht="19.5" customHeight="1" x14ac:dyDescent="0.25">
      <c r="A33" s="26" t="s">
        <v>133</v>
      </c>
      <c r="B33" s="27">
        <f>COUNTIFS('Data-Projects'!C3:C53,"R",'Data-Projects'!Q3:Q53,"N")</f>
        <v>20</v>
      </c>
      <c r="C33" s="28">
        <f t="shared" si="0"/>
        <v>0.52631578947368418</v>
      </c>
      <c r="D33" s="30">
        <f>SUMIFS('Data-Projects'!H3:H53,'Data-Projects'!C3:C53,"R",'Data-Projects'!Q3:Q53,"N")</f>
        <v>340.6</v>
      </c>
      <c r="E33" s="28">
        <f t="shared" si="1"/>
        <v>0.50073507791825933</v>
      </c>
    </row>
    <row r="34" spans="1:5" ht="19.5" customHeight="1" x14ac:dyDescent="0.25">
      <c r="A34" s="38" t="s">
        <v>134</v>
      </c>
      <c r="B34" s="39">
        <f>SUM(B31:B33)</f>
        <v>38</v>
      </c>
      <c r="C34" s="40">
        <f>SUM(C31:C33)</f>
        <v>1</v>
      </c>
      <c r="D34" s="41">
        <f t="shared" ref="D34:E34" si="2">SUM(D31:D33)</f>
        <v>680.2</v>
      </c>
      <c r="E34" s="40">
        <f t="shared" si="2"/>
        <v>1</v>
      </c>
    </row>
    <row r="35" spans="1:5" ht="19.5" customHeight="1" x14ac:dyDescent="0.25">
      <c r="A35" s="21" t="s">
        <v>141</v>
      </c>
    </row>
    <row r="37" spans="1:5" ht="19.5" customHeight="1" x14ac:dyDescent="0.25">
      <c r="A37" s="25" t="s">
        <v>185</v>
      </c>
      <c r="B37" s="26"/>
      <c r="C37" s="26"/>
      <c r="D37" s="26"/>
      <c r="E37" s="26"/>
    </row>
    <row r="38" spans="1:5" ht="31.5" customHeight="1" x14ac:dyDescent="0.25">
      <c r="A38" s="31" t="s">
        <v>147</v>
      </c>
      <c r="B38" s="37" t="s">
        <v>157</v>
      </c>
      <c r="C38" s="37" t="s">
        <v>146</v>
      </c>
      <c r="D38" s="37" t="s">
        <v>135</v>
      </c>
      <c r="E38" s="37" t="s">
        <v>138</v>
      </c>
    </row>
    <row r="39" spans="1:5" ht="19.5" customHeight="1" x14ac:dyDescent="0.25">
      <c r="A39" s="22" t="s">
        <v>140</v>
      </c>
      <c r="B39" s="23">
        <f>COUNTIFS('Data-Projects'!C3:C53,"T",'Data-Projects'!S3:S53,"Y")</f>
        <v>7</v>
      </c>
      <c r="C39" s="24">
        <f>B39/$B$42</f>
        <v>0.7</v>
      </c>
      <c r="D39" s="29">
        <f>SUMIFS('Data-Projects'!H3:H53,'Data-Projects'!C3:C53,"T",'Data-Projects'!S3:S53,"Y")</f>
        <v>824.6</v>
      </c>
      <c r="E39" s="24">
        <f>D39/$D$42</f>
        <v>0.98131619659645375</v>
      </c>
    </row>
    <row r="40" spans="1:5" ht="19.5" customHeight="1" x14ac:dyDescent="0.25">
      <c r="A40" s="22" t="s">
        <v>145</v>
      </c>
      <c r="B40" s="23">
        <f>COUNTIFS('Data-Projects'!C3:C53,"T",'Data-Projects'!S3:S53,"P")</f>
        <v>1</v>
      </c>
      <c r="C40" s="24">
        <f t="shared" ref="C40:C41" si="3">B40/$B$42</f>
        <v>0.1</v>
      </c>
      <c r="D40" s="29">
        <f>SUMIFS('Data-Projects'!H3:H53,'Data-Projects'!C3:C53,"T",'Data-Projects'!S3:S53,"P")</f>
        <v>5.9</v>
      </c>
      <c r="E40" s="24">
        <f t="shared" ref="E40:E41" si="4">D40/$D$42</f>
        <v>7.0213019159823878E-3</v>
      </c>
    </row>
    <row r="41" spans="1:5" ht="19.5" customHeight="1" x14ac:dyDescent="0.25">
      <c r="A41" s="26" t="s">
        <v>133</v>
      </c>
      <c r="B41" s="27">
        <f>COUNTIFS('Data-Projects'!C3:C53,"T",'Data-Projects'!S3:S53,"N")</f>
        <v>2</v>
      </c>
      <c r="C41" s="24">
        <f t="shared" si="3"/>
        <v>0.2</v>
      </c>
      <c r="D41" s="30">
        <f>SUMIFS('Data-Projects'!H3:H53,'Data-Projects'!C3:C53,"T",'Data-Projects'!S3:S53,"N")</f>
        <v>9.8000000000000007</v>
      </c>
      <c r="E41" s="28">
        <f t="shared" si="4"/>
        <v>1.1662501487563967E-2</v>
      </c>
    </row>
    <row r="42" spans="1:5" ht="19.5" customHeight="1" x14ac:dyDescent="0.25">
      <c r="A42" s="38" t="s">
        <v>134</v>
      </c>
      <c r="B42" s="39">
        <f>SUM(B39:B41)</f>
        <v>10</v>
      </c>
      <c r="C42" s="40">
        <f>SUM(C39:C41)</f>
        <v>1</v>
      </c>
      <c r="D42" s="41">
        <f t="shared" ref="D42:E42" si="5">SUM(D39:D41)</f>
        <v>840.3</v>
      </c>
      <c r="E42" s="40">
        <f t="shared" si="5"/>
        <v>1</v>
      </c>
    </row>
    <row r="43" spans="1:5" ht="19.5" customHeight="1" x14ac:dyDescent="0.25">
      <c r="A43" s="45" t="s">
        <v>142</v>
      </c>
      <c r="B43" s="42"/>
      <c r="C43" s="42"/>
      <c r="D43" s="43"/>
      <c r="E43" s="44"/>
    </row>
    <row r="44" spans="1:5" ht="16.5" x14ac:dyDescent="0.25">
      <c r="A44" s="21" t="s">
        <v>143</v>
      </c>
    </row>
  </sheetData>
  <mergeCells count="4">
    <mergeCell ref="A11:E11"/>
    <mergeCell ref="A7:E7"/>
    <mergeCell ref="A8:E8"/>
    <mergeCell ref="A9:E9"/>
  </mergeCells>
  <printOptions horizontalCentered="1" verticalCentered="1"/>
  <pageMargins left="0.5" right="0.5" top="0.5" bottom="0.5" header="0.25" footer="0.25"/>
  <pageSetup scale="88" orientation="portrait" r:id="rId1"/>
  <headerFooter>
    <oddFooter>&amp;C&amp;"Tw Cen MT,Regular"&amp;12&amp;P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7:K24"/>
  <sheetViews>
    <sheetView showGridLines="0" workbookViewId="0">
      <selection activeCell="A11" sqref="A11:E11"/>
    </sheetView>
  </sheetViews>
  <sheetFormatPr defaultRowHeight="15.75" x14ac:dyDescent="0.25"/>
  <cols>
    <col min="1" max="1" width="28" style="22" customWidth="1"/>
    <col min="2" max="5" width="18.7109375" style="22" customWidth="1"/>
    <col min="6" max="8" width="9.140625" style="22"/>
    <col min="9" max="9" width="28.28515625" style="22" customWidth="1"/>
    <col min="10" max="10" width="12.85546875" style="22" bestFit="1" customWidth="1"/>
    <col min="11" max="11" width="15.5703125" style="22" bestFit="1" customWidth="1"/>
    <col min="12" max="16384" width="9.140625" style="22"/>
  </cols>
  <sheetData>
    <row r="7" spans="1:11" ht="15.75" customHeight="1" x14ac:dyDescent="0.25">
      <c r="A7" s="146" t="s">
        <v>136</v>
      </c>
      <c r="B7" s="146"/>
      <c r="C7" s="146"/>
      <c r="D7" s="146"/>
      <c r="E7" s="146"/>
    </row>
    <row r="8" spans="1:11" ht="15.75" customHeight="1" x14ac:dyDescent="0.25">
      <c r="A8" s="139" t="s">
        <v>137</v>
      </c>
      <c r="B8" s="139"/>
      <c r="C8" s="139"/>
      <c r="D8" s="139"/>
      <c r="E8" s="139"/>
    </row>
    <row r="9" spans="1:11" x14ac:dyDescent="0.25">
      <c r="A9" s="147" t="s">
        <v>155</v>
      </c>
      <c r="B9" s="147"/>
      <c r="C9" s="147"/>
      <c r="D9" s="147"/>
      <c r="E9" s="147"/>
    </row>
    <row r="10" spans="1:11" x14ac:dyDescent="0.25">
      <c r="A10" s="58"/>
      <c r="B10" s="58"/>
      <c r="C10" s="58"/>
      <c r="D10" s="58"/>
      <c r="E10" s="58"/>
    </row>
    <row r="11" spans="1:11" ht="31.5" customHeight="1" x14ac:dyDescent="0.25">
      <c r="A11" s="148" t="s">
        <v>251</v>
      </c>
      <c r="B11" s="148"/>
      <c r="C11" s="148"/>
      <c r="D11" s="148"/>
      <c r="E11" s="148"/>
    </row>
    <row r="12" spans="1:11" x14ac:dyDescent="0.25">
      <c r="D12" s="35"/>
    </row>
    <row r="13" spans="1:11" ht="19.5" customHeight="1" x14ac:dyDescent="0.25">
      <c r="A13" s="25" t="s">
        <v>228</v>
      </c>
      <c r="B13" s="26"/>
      <c r="C13" s="26"/>
      <c r="D13" s="26"/>
      <c r="E13" s="26"/>
      <c r="I13" s="46" t="s">
        <v>237</v>
      </c>
    </row>
    <row r="14" spans="1:11" ht="31.5" customHeight="1" x14ac:dyDescent="0.25">
      <c r="A14" s="31" t="s">
        <v>128</v>
      </c>
      <c r="B14" s="37" t="s">
        <v>157</v>
      </c>
      <c r="C14" s="37" t="s">
        <v>146</v>
      </c>
      <c r="D14" s="37" t="s">
        <v>135</v>
      </c>
      <c r="E14" s="37" t="s">
        <v>138</v>
      </c>
      <c r="J14" s="23" t="s">
        <v>231</v>
      </c>
      <c r="K14" s="23" t="s">
        <v>232</v>
      </c>
    </row>
    <row r="15" spans="1:11" x14ac:dyDescent="0.25">
      <c r="A15" s="22" t="s">
        <v>229</v>
      </c>
      <c r="B15" s="23">
        <f>COUNTIFS('Data-Projects'!C3:C53,"T",'Data-Projects'!AC3:AC53,"Y")</f>
        <v>6</v>
      </c>
      <c r="C15" s="24">
        <f>B15/$B$17</f>
        <v>0.6</v>
      </c>
      <c r="D15" s="29">
        <f>SUMIFS('Data-Projects'!H3:H53,'Data-Projects'!C3:C53,"T",'Data-Projects'!AC3:AC53,"Y")</f>
        <v>818.8</v>
      </c>
      <c r="E15" s="24">
        <f>D15/$D$17</f>
        <v>0.97441389979769133</v>
      </c>
      <c r="I15" s="22" t="s">
        <v>229</v>
      </c>
      <c r="J15" s="24">
        <f>C15</f>
        <v>0.6</v>
      </c>
      <c r="K15" s="24">
        <f>E15</f>
        <v>0.97441389979769133</v>
      </c>
    </row>
    <row r="16" spans="1:11" x14ac:dyDescent="0.25">
      <c r="A16" s="22" t="s">
        <v>230</v>
      </c>
      <c r="B16" s="23">
        <f>COUNTIFS('Data-Projects'!C3:C53,"T",'Data-Projects'!AC3:AC53,"N")</f>
        <v>4</v>
      </c>
      <c r="C16" s="24">
        <f>B16/$B$17</f>
        <v>0.4</v>
      </c>
      <c r="D16" s="29">
        <f>SUMIFS('Data-Projects'!H3:H53,'Data-Projects'!C3:C53,"T",'Data-Projects'!AC3:AC53,"N")</f>
        <v>21.5</v>
      </c>
      <c r="E16" s="24">
        <f>D16/$D$17</f>
        <v>2.5586100202308702E-2</v>
      </c>
      <c r="I16" s="22" t="s">
        <v>230</v>
      </c>
      <c r="J16" s="24">
        <f>C16</f>
        <v>0.4</v>
      </c>
      <c r="K16" s="24">
        <f>E16</f>
        <v>2.5586100202308702E-2</v>
      </c>
    </row>
    <row r="17" spans="1:9" ht="19.5" customHeight="1" x14ac:dyDescent="0.25">
      <c r="A17" s="38" t="s">
        <v>134</v>
      </c>
      <c r="B17" s="39">
        <f>SUM(B15:B16)</f>
        <v>10</v>
      </c>
      <c r="C17" s="40">
        <f>SUM(C15:C16)</f>
        <v>1</v>
      </c>
      <c r="D17" s="41">
        <f>SUM(D15:D16)</f>
        <v>840.3</v>
      </c>
      <c r="E17" s="40">
        <f>SUM(E15:E16)</f>
        <v>1</v>
      </c>
    </row>
    <row r="20" spans="1:9" x14ac:dyDescent="0.25">
      <c r="A20" s="22" t="s">
        <v>230</v>
      </c>
      <c r="B20" s="60">
        <f>D16</f>
        <v>21.5</v>
      </c>
    </row>
    <row r="21" spans="1:9" x14ac:dyDescent="0.25">
      <c r="A21" s="59" t="s">
        <v>239</v>
      </c>
      <c r="B21" s="60">
        <f>SUMIFS('Data-Projects'!H3:H53,'Data-Projects'!C3:C53,"T",'Data-Projects'!AD3:AD53,"RFP")</f>
        <v>389.9</v>
      </c>
      <c r="I21" s="46"/>
    </row>
    <row r="22" spans="1:9" x14ac:dyDescent="0.25">
      <c r="A22" s="59" t="s">
        <v>243</v>
      </c>
      <c r="B22" s="60">
        <f>SUMIFS('Data-Projects'!H3:H53,'Data-Projects'!C3:C53,"T",'Data-Projects'!AD3:AD53,"Planning")</f>
        <v>174.3</v>
      </c>
    </row>
    <row r="23" spans="1:9" x14ac:dyDescent="0.25">
      <c r="A23" s="59" t="s">
        <v>244</v>
      </c>
      <c r="B23" s="60">
        <f>SUMIFS('Data-Projects'!H3:H53,'Data-Projects'!C3:C53,"T",'Data-Projects'!AD3:AD53,"Planned")</f>
        <v>224</v>
      </c>
    </row>
    <row r="24" spans="1:9" x14ac:dyDescent="0.25">
      <c r="A24" s="59" t="s">
        <v>242</v>
      </c>
      <c r="B24" s="60">
        <f>SUMIFS('Data-Projects'!H3:H53,'Data-Projects'!C3:C53,"T",'Data-Projects'!AD3:AD53,"EIS")</f>
        <v>30.6</v>
      </c>
    </row>
  </sheetData>
  <mergeCells count="4">
    <mergeCell ref="A7:E7"/>
    <mergeCell ref="A8:E8"/>
    <mergeCell ref="A9:E9"/>
    <mergeCell ref="A11:E11"/>
  </mergeCells>
  <printOptions horizontalCentered="1" verticalCentered="1"/>
  <pageMargins left="0.5" right="0.5" top="0.5" bottom="0.5" header="0.25" footer="0.25"/>
  <pageSetup orientation="portrait" r:id="rId1"/>
  <headerFooter>
    <oddFooter>&amp;C&amp;"Tw Cen MT,Regular"&amp;12&amp;P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7:L48"/>
  <sheetViews>
    <sheetView showGridLines="0" topLeftCell="A28" workbookViewId="0">
      <selection activeCell="A11" sqref="A11:E11"/>
    </sheetView>
  </sheetViews>
  <sheetFormatPr defaultRowHeight="15.75" x14ac:dyDescent="0.25"/>
  <cols>
    <col min="1" max="1" width="21.5703125" style="22" customWidth="1"/>
    <col min="2" max="5" width="18.7109375" style="22" customWidth="1"/>
    <col min="6" max="8" width="9.140625" style="22"/>
    <col min="9" max="9" width="32.5703125" style="22" customWidth="1"/>
    <col min="10" max="10" width="12.85546875" style="22" bestFit="1" customWidth="1"/>
    <col min="11" max="11" width="15.5703125" style="22" bestFit="1" customWidth="1"/>
    <col min="12" max="12" width="15.5703125" style="22" customWidth="1"/>
    <col min="13" max="16384" width="9.140625" style="22"/>
  </cols>
  <sheetData>
    <row r="7" spans="1:12" ht="15.75" customHeight="1" x14ac:dyDescent="0.25">
      <c r="A7" s="146" t="s">
        <v>136</v>
      </c>
      <c r="B7" s="146"/>
      <c r="C7" s="146"/>
      <c r="D7" s="146"/>
      <c r="E7" s="146"/>
    </row>
    <row r="8" spans="1:12" ht="15.75" customHeight="1" x14ac:dyDescent="0.25">
      <c r="A8" s="139" t="s">
        <v>137</v>
      </c>
      <c r="B8" s="139"/>
      <c r="C8" s="139"/>
      <c r="D8" s="139"/>
      <c r="E8" s="139"/>
    </row>
    <row r="9" spans="1:12" x14ac:dyDescent="0.25">
      <c r="A9" s="147" t="s">
        <v>155</v>
      </c>
      <c r="B9" s="147"/>
      <c r="C9" s="147"/>
      <c r="D9" s="147"/>
      <c r="E9" s="147"/>
    </row>
    <row r="10" spans="1:12" x14ac:dyDescent="0.25">
      <c r="A10" s="58"/>
      <c r="B10" s="58"/>
      <c r="C10" s="58"/>
      <c r="D10" s="58"/>
      <c r="E10" s="58"/>
    </row>
    <row r="11" spans="1:12" ht="31.5" customHeight="1" x14ac:dyDescent="0.25">
      <c r="A11" s="148" t="s">
        <v>236</v>
      </c>
      <c r="B11" s="148"/>
      <c r="C11" s="148"/>
      <c r="D11" s="148"/>
      <c r="E11" s="148"/>
    </row>
    <row r="12" spans="1:12" x14ac:dyDescent="0.25">
      <c r="D12" s="35"/>
    </row>
    <row r="13" spans="1:12" ht="19.5" customHeight="1" x14ac:dyDescent="0.25">
      <c r="A13" s="25" t="s">
        <v>255</v>
      </c>
      <c r="B13" s="26"/>
      <c r="C13" s="26"/>
      <c r="D13" s="26"/>
      <c r="E13" s="26"/>
      <c r="I13" s="46" t="s">
        <v>264</v>
      </c>
    </row>
    <row r="14" spans="1:12" ht="31.5" customHeight="1" x14ac:dyDescent="0.25">
      <c r="A14" s="31" t="s">
        <v>128</v>
      </c>
      <c r="B14" s="37" t="s">
        <v>157</v>
      </c>
      <c r="C14" s="37" t="s">
        <v>146</v>
      </c>
      <c r="D14" s="37" t="s">
        <v>135</v>
      </c>
      <c r="E14" s="37" t="s">
        <v>138</v>
      </c>
      <c r="J14" s="23" t="s">
        <v>132</v>
      </c>
      <c r="K14" s="23" t="s">
        <v>133</v>
      </c>
      <c r="L14" s="23" t="s">
        <v>258</v>
      </c>
    </row>
    <row r="15" spans="1:12" x14ac:dyDescent="0.25">
      <c r="A15" s="22" t="s">
        <v>132</v>
      </c>
      <c r="B15" s="23">
        <f>COUNTIFS('Data-Projects'!C3:C53,"R",'Data-Projects'!AE3:AE53,"Y")</f>
        <v>3</v>
      </c>
      <c r="C15" s="24">
        <f>B15/$B$17</f>
        <v>7.8947368421052627E-2</v>
      </c>
      <c r="D15" s="29">
        <f>SUMIFS('Data-Projects'!H3:H53,'Data-Projects'!C3:C53,"R",'Data-Projects'!AE3:AE53,"Y")</f>
        <v>132.1</v>
      </c>
      <c r="E15" s="24">
        <f>D15/$D$17</f>
        <v>0.19420758600411639</v>
      </c>
      <c r="I15" s="22" t="s">
        <v>233</v>
      </c>
      <c r="J15" s="24">
        <f>C15</f>
        <v>7.8947368421052627E-2</v>
      </c>
      <c r="K15" s="24">
        <f>C16</f>
        <v>0.92105263157894735</v>
      </c>
      <c r="L15" s="24">
        <v>0</v>
      </c>
    </row>
    <row r="16" spans="1:12" x14ac:dyDescent="0.25">
      <c r="A16" s="22" t="s">
        <v>133</v>
      </c>
      <c r="B16" s="23">
        <f>COUNTIFS('Data-Projects'!C3:C53,"R",'Data-Projects'!AE3:AE53,"N")</f>
        <v>35</v>
      </c>
      <c r="C16" s="24">
        <f>B16/$B$17</f>
        <v>0.92105263157894735</v>
      </c>
      <c r="D16" s="29">
        <f>SUMIFS('Data-Projects'!H3:H53,'Data-Projects'!C3:C53,"R",'Data-Projects'!AE3:AE53,"N")</f>
        <v>548.10000000000014</v>
      </c>
      <c r="E16" s="24">
        <f>D16/$D$17</f>
        <v>0.80579241399588353</v>
      </c>
      <c r="I16" s="22" t="s">
        <v>234</v>
      </c>
      <c r="J16" s="24">
        <f>C22</f>
        <v>0.36842105263157893</v>
      </c>
      <c r="K16" s="24">
        <f>C23</f>
        <v>0.63157894736842102</v>
      </c>
      <c r="L16" s="24">
        <v>0</v>
      </c>
    </row>
    <row r="17" spans="1:12" x14ac:dyDescent="0.25">
      <c r="A17" s="38" t="s">
        <v>134</v>
      </c>
      <c r="B17" s="39">
        <f>SUM(B15:B16)</f>
        <v>38</v>
      </c>
      <c r="C17" s="40">
        <f>SUM(C15:C16)</f>
        <v>1</v>
      </c>
      <c r="D17" s="39">
        <f>SUM(D15:D16)</f>
        <v>680.20000000000016</v>
      </c>
      <c r="E17" s="40">
        <f>SUM(E15:E16)</f>
        <v>0.99999999999999989</v>
      </c>
      <c r="I17" s="22" t="s">
        <v>235</v>
      </c>
      <c r="J17" s="24">
        <f>C29</f>
        <v>0.86842105263157898</v>
      </c>
      <c r="K17" s="24">
        <f>C30</f>
        <v>0.13157894736842105</v>
      </c>
      <c r="L17" s="24">
        <v>0</v>
      </c>
    </row>
    <row r="18" spans="1:12" x14ac:dyDescent="0.25">
      <c r="A18" s="61"/>
      <c r="B18" s="42"/>
      <c r="C18" s="44"/>
      <c r="D18" s="42"/>
      <c r="E18" s="44"/>
      <c r="I18" s="22" t="s">
        <v>253</v>
      </c>
      <c r="J18" s="24">
        <f>C36</f>
        <v>0.28947368421052633</v>
      </c>
      <c r="K18" s="24">
        <f>C37</f>
        <v>0.5</v>
      </c>
      <c r="L18" s="24">
        <f>C38</f>
        <v>0.21052631578947367</v>
      </c>
    </row>
    <row r="19" spans="1:12" x14ac:dyDescent="0.25">
      <c r="J19" s="24"/>
      <c r="K19" s="24"/>
    </row>
    <row r="20" spans="1:12" ht="19.5" customHeight="1" x14ac:dyDescent="0.25">
      <c r="A20" s="25" t="s">
        <v>254</v>
      </c>
      <c r="B20" s="26"/>
      <c r="C20" s="26"/>
      <c r="D20" s="26"/>
      <c r="E20" s="26"/>
      <c r="I20" s="46" t="s">
        <v>265</v>
      </c>
    </row>
    <row r="21" spans="1:12" ht="31.5" x14ac:dyDescent="0.25">
      <c r="A21" s="31" t="s">
        <v>128</v>
      </c>
      <c r="B21" s="37" t="s">
        <v>157</v>
      </c>
      <c r="C21" s="37" t="s">
        <v>146</v>
      </c>
      <c r="D21" s="37" t="s">
        <v>135</v>
      </c>
      <c r="E21" s="37" t="s">
        <v>138</v>
      </c>
      <c r="J21" s="23" t="s">
        <v>132</v>
      </c>
      <c r="K21" s="23" t="s">
        <v>133</v>
      </c>
      <c r="L21" s="23" t="s">
        <v>258</v>
      </c>
    </row>
    <row r="22" spans="1:12" x14ac:dyDescent="0.25">
      <c r="A22" s="22" t="s">
        <v>132</v>
      </c>
      <c r="B22" s="23">
        <f>COUNTIFS('Data-Projects'!C3:C53,"R",'Data-Projects'!AF3:AF53,"Y")</f>
        <v>14</v>
      </c>
      <c r="C22" s="24">
        <f>B22/$B$24</f>
        <v>0.36842105263157893</v>
      </c>
      <c r="D22" s="29">
        <f>SUMIFS('Data-Projects'!H3:H53,'Data-Projects'!C3:C53,"R",'Data-Projects'!AF3:AF53,"Y")</f>
        <v>414.60000000000008</v>
      </c>
      <c r="E22" s="24">
        <f>D22/D24</f>
        <v>0.60952660982064111</v>
      </c>
      <c r="I22" s="22" t="s">
        <v>233</v>
      </c>
      <c r="J22" s="24">
        <f>E15</f>
        <v>0.19420758600411639</v>
      </c>
      <c r="K22" s="24">
        <f>E16</f>
        <v>0.80579241399588353</v>
      </c>
      <c r="L22" s="24">
        <v>0</v>
      </c>
    </row>
    <row r="23" spans="1:12" x14ac:dyDescent="0.25">
      <c r="A23" s="22" t="s">
        <v>133</v>
      </c>
      <c r="B23" s="23">
        <f>COUNTIFS('Data-Projects'!C3:C53,"R",'Data-Projects'!AF3:AF53,"N")</f>
        <v>24</v>
      </c>
      <c r="C23" s="24">
        <f>B23/$B$24</f>
        <v>0.63157894736842102</v>
      </c>
      <c r="D23" s="29">
        <f>SUMIFS('Data-Projects'!H3:H53,'Data-Projects'!C3:C53,"R",'Data-Projects'!AF3:AF53,"N")</f>
        <v>265.60000000000002</v>
      </c>
      <c r="E23" s="24">
        <f>D23/$D$24</f>
        <v>0.390473390179359</v>
      </c>
      <c r="I23" s="22" t="s">
        <v>234</v>
      </c>
      <c r="J23" s="24">
        <f>E22</f>
        <v>0.60952660982064111</v>
      </c>
      <c r="K23" s="24">
        <f>E23</f>
        <v>0.390473390179359</v>
      </c>
      <c r="L23" s="24">
        <v>0</v>
      </c>
    </row>
    <row r="24" spans="1:12" x14ac:dyDescent="0.25">
      <c r="A24" s="38" t="s">
        <v>134</v>
      </c>
      <c r="B24" s="39">
        <f>SUM(B22:B23)</f>
        <v>38</v>
      </c>
      <c r="C24" s="40">
        <f>SUM(C22:C23)</f>
        <v>1</v>
      </c>
      <c r="D24" s="39">
        <f>SUM(D22:D23)</f>
        <v>680.2</v>
      </c>
      <c r="E24" s="40">
        <f>SUM(E22:E23)</f>
        <v>1</v>
      </c>
      <c r="I24" s="22" t="s">
        <v>235</v>
      </c>
      <c r="J24" s="24">
        <f>E29</f>
        <v>0.89944134078212301</v>
      </c>
      <c r="K24" s="24">
        <f>E30</f>
        <v>0.10055865921787709</v>
      </c>
      <c r="L24" s="24">
        <v>0</v>
      </c>
    </row>
    <row r="25" spans="1:12" x14ac:dyDescent="0.25">
      <c r="I25" s="22" t="s">
        <v>253</v>
      </c>
      <c r="J25" s="24">
        <f>E36</f>
        <v>0.55219053219641279</v>
      </c>
      <c r="K25" s="24">
        <f>E37</f>
        <v>0.28315201411349605</v>
      </c>
      <c r="L25" s="24">
        <f>E38</f>
        <v>0.16465745369009113</v>
      </c>
    </row>
    <row r="27" spans="1:12" x14ac:dyDescent="0.25">
      <c r="A27" s="25" t="s">
        <v>256</v>
      </c>
      <c r="B27" s="26"/>
      <c r="C27" s="26"/>
      <c r="D27" s="26"/>
      <c r="E27" s="26"/>
    </row>
    <row r="28" spans="1:12" ht="31.5" x14ac:dyDescent="0.25">
      <c r="A28" s="31" t="s">
        <v>128</v>
      </c>
      <c r="B28" s="37" t="s">
        <v>157</v>
      </c>
      <c r="C28" s="37" t="s">
        <v>146</v>
      </c>
      <c r="D28" s="37" t="s">
        <v>135</v>
      </c>
      <c r="E28" s="37" t="s">
        <v>138</v>
      </c>
    </row>
    <row r="29" spans="1:12" x14ac:dyDescent="0.25">
      <c r="A29" s="22" t="s">
        <v>132</v>
      </c>
      <c r="B29" s="23">
        <f>COUNTIFS('Data-Projects'!C3:C53,"R",'Data-Projects'!AH3:AH53,"Y")</f>
        <v>33</v>
      </c>
      <c r="C29" s="24">
        <f>B29/$B$31</f>
        <v>0.86842105263157898</v>
      </c>
      <c r="D29" s="29">
        <f>SUMIFS('Data-Projects'!H3:H53,'Data-Projects'!C3:C53,"R",'Data-Projects'!AH3:AH53,"Y")</f>
        <v>611.80000000000018</v>
      </c>
      <c r="E29" s="24">
        <f>D29/D31</f>
        <v>0.89944134078212301</v>
      </c>
      <c r="I29" s="46" t="s">
        <v>252</v>
      </c>
    </row>
    <row r="30" spans="1:12" x14ac:dyDescent="0.25">
      <c r="A30" s="22" t="s">
        <v>133</v>
      </c>
      <c r="B30" s="23">
        <f>COUNTIFS('Data-Projects'!C3:C53,"R",'Data-Projects'!AH3:AH53,"N")</f>
        <v>5</v>
      </c>
      <c r="C30" s="24">
        <f>B30/$B$31</f>
        <v>0.13157894736842105</v>
      </c>
      <c r="D30" s="29">
        <f>SUMIFS('Data-Projects'!H3:H53,'Data-Projects'!C3:C53,"R",'Data-Projects'!AH3:AH53,"N")</f>
        <v>68.400000000000006</v>
      </c>
      <c r="E30" s="24">
        <f>D30/$D$31</f>
        <v>0.10055865921787709</v>
      </c>
      <c r="I30" s="22" t="str">
        <f>A44</f>
        <v>Capacity Available</v>
      </c>
      <c r="J30" s="60">
        <f>D44</f>
        <v>152.30000000000001</v>
      </c>
    </row>
    <row r="31" spans="1:12" x14ac:dyDescent="0.25">
      <c r="A31" s="38" t="s">
        <v>134</v>
      </c>
      <c r="B31" s="39">
        <f>SUM(B29:B30)</f>
        <v>38</v>
      </c>
      <c r="C31" s="40">
        <f>SUM(C29:C30)</f>
        <v>1</v>
      </c>
      <c r="D31" s="39">
        <f>SUM(D29:D30)</f>
        <v>680.20000000000016</v>
      </c>
      <c r="E31" s="40">
        <f>SUM(E29:E30)</f>
        <v>1</v>
      </c>
      <c r="I31" s="22" t="str">
        <f t="shared" ref="I31:I33" si="0">A45</f>
        <v>At Capacity</v>
      </c>
      <c r="J31" s="60">
        <f t="shared" ref="J31:J33" si="1">D45</f>
        <v>15</v>
      </c>
    </row>
    <row r="32" spans="1:12" x14ac:dyDescent="0.25">
      <c r="I32" s="22" t="str">
        <f t="shared" si="0"/>
        <v>Over Capacity</v>
      </c>
      <c r="J32" s="60">
        <f t="shared" si="1"/>
        <v>39.1</v>
      </c>
    </row>
    <row r="33" spans="1:10" x14ac:dyDescent="0.25">
      <c r="I33" s="22" t="str">
        <f t="shared" si="0"/>
        <v>Severely Congested</v>
      </c>
      <c r="J33" s="60">
        <f t="shared" si="1"/>
        <v>48.5</v>
      </c>
    </row>
    <row r="34" spans="1:10" x14ac:dyDescent="0.25">
      <c r="A34" s="25" t="s">
        <v>257</v>
      </c>
      <c r="B34" s="26"/>
      <c r="C34" s="26"/>
      <c r="D34" s="26"/>
      <c r="E34" s="26"/>
    </row>
    <row r="35" spans="1:10" ht="31.5" x14ac:dyDescent="0.25">
      <c r="A35" s="31" t="s">
        <v>128</v>
      </c>
      <c r="B35" s="37" t="s">
        <v>157</v>
      </c>
      <c r="C35" s="37" t="s">
        <v>146</v>
      </c>
      <c r="D35" s="37" t="s">
        <v>135</v>
      </c>
      <c r="E35" s="37" t="s">
        <v>138</v>
      </c>
    </row>
    <row r="36" spans="1:10" x14ac:dyDescent="0.25">
      <c r="A36" s="22" t="s">
        <v>132</v>
      </c>
      <c r="B36" s="23">
        <f>COUNTIFS('Data-Projects'!C3:C53,"R",'Data-Projects'!AI3:AI53,"Y")</f>
        <v>11</v>
      </c>
      <c r="C36" s="24">
        <f>B36/$B$39</f>
        <v>0.28947368421052633</v>
      </c>
      <c r="D36" s="29">
        <f>SUMIFS('Data-Projects'!H3:H53,'Data-Projects'!C3:C53,"R",'Data-Projects'!AI3:AI53,"Y")</f>
        <v>375.6</v>
      </c>
      <c r="E36" s="24">
        <f>D36/D39</f>
        <v>0.55219053219641279</v>
      </c>
    </row>
    <row r="37" spans="1:10" x14ac:dyDescent="0.25">
      <c r="A37" s="22" t="s">
        <v>133</v>
      </c>
      <c r="B37" s="23">
        <f>COUNTIFS('Data-Projects'!C3:C53,"R",'Data-Projects'!AI3:AI53,"N")</f>
        <v>19</v>
      </c>
      <c r="C37" s="24">
        <f>B37/$B$39</f>
        <v>0.5</v>
      </c>
      <c r="D37" s="29">
        <f>SUMIFS('Data-Projects'!H3:H53,'Data-Projects'!C3:C53,"R",'Data-Projects'!AI3:AI53,"N")</f>
        <v>192.60000000000002</v>
      </c>
      <c r="E37" s="24">
        <f>D37/$D$39</f>
        <v>0.28315201411349605</v>
      </c>
    </row>
    <row r="38" spans="1:10" x14ac:dyDescent="0.25">
      <c r="A38" s="22" t="s">
        <v>258</v>
      </c>
      <c r="B38" s="23">
        <f>COUNTIFS('Data-Projects'!C3:C53,"R",'Data-Projects'!AI3:AI53,"U")</f>
        <v>8</v>
      </c>
      <c r="C38" s="24">
        <f>B38/$B$39</f>
        <v>0.21052631578947367</v>
      </c>
      <c r="D38" s="29">
        <f>SUMIFS('Data-Projects'!H3:H53,'Data-Projects'!C3:C53,"R",'Data-Projects'!AI3:AI53,"U")</f>
        <v>112</v>
      </c>
      <c r="E38" s="24">
        <f>D38/$D$39</f>
        <v>0.16465745369009113</v>
      </c>
    </row>
    <row r="39" spans="1:10" x14ac:dyDescent="0.25">
      <c r="A39" s="38" t="s">
        <v>134</v>
      </c>
      <c r="B39" s="39">
        <f>SUM(B36:B38)</f>
        <v>38</v>
      </c>
      <c r="C39" s="40">
        <f>SUM(C36:C38)</f>
        <v>1</v>
      </c>
      <c r="D39" s="41">
        <f>SUM(D36:D38)</f>
        <v>680.2</v>
      </c>
      <c r="E39" s="40">
        <f>SUM(E36:E38)</f>
        <v>1</v>
      </c>
    </row>
    <row r="42" spans="1:10" x14ac:dyDescent="0.25">
      <c r="A42" s="25" t="s">
        <v>263</v>
      </c>
      <c r="B42" s="26"/>
      <c r="C42" s="26"/>
      <c r="D42" s="26"/>
      <c r="E42" s="26"/>
    </row>
    <row r="43" spans="1:10" ht="31.5" x14ac:dyDescent="0.25">
      <c r="A43" s="31" t="s">
        <v>128</v>
      </c>
      <c r="B43" s="37" t="s">
        <v>157</v>
      </c>
      <c r="C43" s="37" t="s">
        <v>146</v>
      </c>
      <c r="D43" s="37" t="s">
        <v>135</v>
      </c>
      <c r="E43" s="37" t="s">
        <v>138</v>
      </c>
    </row>
    <row r="44" spans="1:10" x14ac:dyDescent="0.25">
      <c r="A44" s="22" t="s">
        <v>261</v>
      </c>
      <c r="B44" s="23">
        <f>COUNTIFS('Data-Projects'!C3:C51,"R",'Data-Projects'!AG3:AG51,"UNDER")</f>
        <v>4</v>
      </c>
      <c r="C44" s="24">
        <f>B44/$B$48</f>
        <v>0.4</v>
      </c>
      <c r="D44" s="29">
        <f>SUMIFS('Data-Projects'!H3:H53,'Data-Projects'!C3:C53,"R",'Data-Projects'!AG3:AG53,"UNDER")</f>
        <v>152.30000000000001</v>
      </c>
      <c r="E44" s="24">
        <f>D44/$D$48</f>
        <v>0.59748921145547274</v>
      </c>
    </row>
    <row r="45" spans="1:10" x14ac:dyDescent="0.25">
      <c r="A45" s="22" t="s">
        <v>259</v>
      </c>
      <c r="B45" s="23">
        <f>COUNTIFS('Data-Projects'!C3:C51,"R",'Data-Projects'!AG3:AG51,"AT")</f>
        <v>1</v>
      </c>
      <c r="C45" s="24">
        <f t="shared" ref="C45:C47" si="2">B45/$B$48</f>
        <v>0.1</v>
      </c>
      <c r="D45" s="29">
        <f>SUMIFS('Data-Projects'!H3:H53,'Data-Projects'!C3:C53,"R",'Data-Projects'!AG3:AG53,"AT")</f>
        <v>15</v>
      </c>
      <c r="E45" s="24">
        <f t="shared" ref="E45:E47" si="3">D45/$D$48</f>
        <v>5.8846606512357784E-2</v>
      </c>
    </row>
    <row r="46" spans="1:10" x14ac:dyDescent="0.25">
      <c r="A46" s="22" t="s">
        <v>260</v>
      </c>
      <c r="B46" s="23">
        <f>COUNTIFS('Data-Projects'!C3:C51,"R",'Data-Projects'!AG3:AG51,"OVER")</f>
        <v>3</v>
      </c>
      <c r="C46" s="24">
        <f t="shared" si="2"/>
        <v>0.3</v>
      </c>
      <c r="D46" s="29">
        <f>SUMIFS('Data-Projects'!H3:H53,'Data-Projects'!C3:C53,"R",'Data-Projects'!AG3:AG53,"OVER")</f>
        <v>39.1</v>
      </c>
      <c r="E46" s="24">
        <f t="shared" si="3"/>
        <v>0.15339348764221264</v>
      </c>
    </row>
    <row r="47" spans="1:10" x14ac:dyDescent="0.25">
      <c r="A47" s="22" t="s">
        <v>262</v>
      </c>
      <c r="B47" s="23">
        <f>COUNTIFS('Data-Projects'!C3:C51,"R",'Data-Projects'!AG3:AG51,"SEVERE")</f>
        <v>2</v>
      </c>
      <c r="C47" s="24">
        <f t="shared" si="2"/>
        <v>0.2</v>
      </c>
      <c r="D47" s="29">
        <f>SUMIFS('Data-Projects'!H3:H53,'Data-Projects'!C3:C53,"R",'Data-Projects'!AG3:AG53,"SEVERE")</f>
        <v>48.5</v>
      </c>
      <c r="E47" s="24">
        <f t="shared" si="3"/>
        <v>0.19027069438995683</v>
      </c>
    </row>
    <row r="48" spans="1:10" x14ac:dyDescent="0.25">
      <c r="A48" s="38" t="s">
        <v>134</v>
      </c>
      <c r="B48" s="39">
        <f>SUM(B44:B47)</f>
        <v>10</v>
      </c>
      <c r="C48" s="40">
        <f>SUM(C44:C47)</f>
        <v>1</v>
      </c>
      <c r="D48" s="41">
        <f>SUM(D44:D47)</f>
        <v>254.9</v>
      </c>
      <c r="E48" s="40">
        <f>SUM(E44:E47)</f>
        <v>0.99999999999999989</v>
      </c>
    </row>
  </sheetData>
  <mergeCells count="4">
    <mergeCell ref="A7:E7"/>
    <mergeCell ref="A8:E8"/>
    <mergeCell ref="A9:E9"/>
    <mergeCell ref="A11:E11"/>
  </mergeCells>
  <printOptions horizontalCentered="1" verticalCentered="1"/>
  <pageMargins left="0.5" right="0.5" top="0.5" bottom="0.5" header="0.25" footer="0.25"/>
  <pageSetup orientation="portrait" r:id="rId1"/>
  <headerFooter>
    <oddFooter>&amp;C&amp;"Tw Cen MT,Regular"&amp;12&amp;P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7:K41"/>
  <sheetViews>
    <sheetView showGridLines="0" workbookViewId="0">
      <selection activeCell="A14" sqref="A14"/>
    </sheetView>
  </sheetViews>
  <sheetFormatPr defaultRowHeight="15.75" x14ac:dyDescent="0.25"/>
  <cols>
    <col min="1" max="1" width="15.5703125" style="22" customWidth="1"/>
    <col min="2" max="3" width="19.7109375" style="22" customWidth="1"/>
    <col min="4" max="5" width="18.7109375" style="22" customWidth="1"/>
    <col min="6" max="8" width="9.140625" style="22"/>
    <col min="9" max="9" width="28" style="22" customWidth="1"/>
    <col min="10" max="11" width="10.7109375" style="22" customWidth="1"/>
    <col min="12" max="16384" width="9.140625" style="22"/>
  </cols>
  <sheetData>
    <row r="7" spans="1:11" ht="15.75" customHeight="1" x14ac:dyDescent="0.25">
      <c r="A7" s="146" t="s">
        <v>136</v>
      </c>
      <c r="B7" s="146"/>
      <c r="C7" s="146"/>
      <c r="D7" s="146"/>
      <c r="E7" s="146"/>
    </row>
    <row r="8" spans="1:11" ht="15.75" customHeight="1" x14ac:dyDescent="0.25">
      <c r="A8" s="139" t="s">
        <v>137</v>
      </c>
      <c r="B8" s="139"/>
      <c r="C8" s="139"/>
      <c r="D8" s="139"/>
      <c r="E8" s="139"/>
    </row>
    <row r="9" spans="1:11" x14ac:dyDescent="0.25">
      <c r="A9" s="147" t="s">
        <v>155</v>
      </c>
      <c r="B9" s="147"/>
      <c r="C9" s="147"/>
      <c r="D9" s="147"/>
      <c r="E9" s="147"/>
    </row>
    <row r="10" spans="1:11" x14ac:dyDescent="0.25">
      <c r="A10" s="36"/>
      <c r="B10" s="36"/>
      <c r="C10" s="36"/>
      <c r="D10" s="36"/>
      <c r="E10" s="36"/>
    </row>
    <row r="11" spans="1:11" ht="31.5" customHeight="1" x14ac:dyDescent="0.25">
      <c r="A11" s="148" t="s">
        <v>290</v>
      </c>
      <c r="B11" s="148"/>
      <c r="C11" s="148"/>
      <c r="D11" s="148"/>
      <c r="E11" s="148"/>
    </row>
    <row r="12" spans="1:11" x14ac:dyDescent="0.25">
      <c r="D12" s="35"/>
    </row>
    <row r="13" spans="1:11" ht="19.5" customHeight="1" x14ac:dyDescent="0.25">
      <c r="A13" s="25" t="s">
        <v>294</v>
      </c>
      <c r="B13" s="26"/>
      <c r="C13" s="26"/>
      <c r="D13" s="26"/>
      <c r="E13" s="26"/>
      <c r="I13" s="46" t="s">
        <v>293</v>
      </c>
    </row>
    <row r="14" spans="1:11" ht="31.5" customHeight="1" x14ac:dyDescent="0.25">
      <c r="A14" s="31" t="s">
        <v>128</v>
      </c>
      <c r="B14" s="37" t="s">
        <v>289</v>
      </c>
      <c r="C14" s="37" t="s">
        <v>292</v>
      </c>
      <c r="D14" s="37" t="s">
        <v>291</v>
      </c>
      <c r="E14" s="37" t="s">
        <v>292</v>
      </c>
      <c r="J14" s="23" t="s">
        <v>132</v>
      </c>
      <c r="K14" s="23" t="s">
        <v>133</v>
      </c>
    </row>
    <row r="15" spans="1:11" ht="19.5" customHeight="1" x14ac:dyDescent="0.25">
      <c r="A15" s="22" t="s">
        <v>132</v>
      </c>
      <c r="B15" s="68">
        <f>SUMIFS('Data-Projects'!U3:U53,'Data-Projects'!X3:X53,"Y")</f>
        <v>110673.26643950134</v>
      </c>
      <c r="C15" s="24">
        <f>B15/B17</f>
        <v>0.14705737343976027</v>
      </c>
      <c r="D15" s="68">
        <f>SUMIFS('Data-Projects'!V3:V53,'Data-Projects'!X3:X53,"Y")</f>
        <v>81579.656236894865</v>
      </c>
      <c r="E15" s="24">
        <f>D15/$D$17</f>
        <v>0.12819723673000619</v>
      </c>
      <c r="I15" s="22" t="s">
        <v>289</v>
      </c>
      <c r="J15" s="24">
        <f>C15</f>
        <v>0.14705737343976027</v>
      </c>
      <c r="K15" s="24">
        <f>C16</f>
        <v>0.85294262656023978</v>
      </c>
    </row>
    <row r="16" spans="1:11" ht="19.5" customHeight="1" x14ac:dyDescent="0.25">
      <c r="A16" s="22" t="s">
        <v>133</v>
      </c>
      <c r="B16" s="68">
        <f>SUMIFS('Data-Projects'!U3:U53,'Data-Projects'!X3:X53,"N")</f>
        <v>641912.36630224553</v>
      </c>
      <c r="C16" s="24">
        <f>B16/B17</f>
        <v>0.85294262656023978</v>
      </c>
      <c r="D16" s="68">
        <f>SUMIFS('Data-Projects'!V3:V53,'Data-Projects'!X3:X53,"N")</f>
        <v>554780.83263002394</v>
      </c>
      <c r="E16" s="24">
        <f>D16/$D$17</f>
        <v>0.87180276326999373</v>
      </c>
      <c r="I16" s="22" t="s">
        <v>295</v>
      </c>
      <c r="J16" s="24">
        <f>E15</f>
        <v>0.12819723673000619</v>
      </c>
      <c r="K16" s="24">
        <f>E16</f>
        <v>0.87180276326999373</v>
      </c>
    </row>
    <row r="17" spans="1:5" ht="19.5" customHeight="1" x14ac:dyDescent="0.25">
      <c r="A17" s="38" t="s">
        <v>134</v>
      </c>
      <c r="B17" s="69">
        <f>SUM(B15:B16)</f>
        <v>752585.63274174684</v>
      </c>
      <c r="C17" s="40">
        <f>SUM(C15:C16)</f>
        <v>1</v>
      </c>
      <c r="D17" s="69">
        <f>SUM(D15:D16)</f>
        <v>636360.48886691884</v>
      </c>
      <c r="E17" s="40">
        <f>SUM(E15:E16)</f>
        <v>0.99999999999999989</v>
      </c>
    </row>
    <row r="19" spans="1:5" x14ac:dyDescent="0.25">
      <c r="A19" s="46" t="s">
        <v>160</v>
      </c>
    </row>
    <row r="20" spans="1:5" x14ac:dyDescent="0.25">
      <c r="A20" s="149" t="s">
        <v>154</v>
      </c>
      <c r="B20" s="149"/>
      <c r="C20" s="149"/>
      <c r="D20" s="149"/>
      <c r="E20" s="149"/>
    </row>
    <row r="21" spans="1:5" x14ac:dyDescent="0.25">
      <c r="A21" s="149"/>
      <c r="B21" s="149"/>
      <c r="C21" s="149"/>
      <c r="D21" s="149"/>
      <c r="E21" s="149"/>
    </row>
    <row r="22" spans="1:5" x14ac:dyDescent="0.25">
      <c r="A22" s="149" t="s">
        <v>158</v>
      </c>
      <c r="B22" s="149"/>
      <c r="C22" s="149"/>
      <c r="D22" s="149"/>
      <c r="E22" s="149"/>
    </row>
    <row r="23" spans="1:5" x14ac:dyDescent="0.25">
      <c r="A23" s="149"/>
      <c r="B23" s="149"/>
      <c r="C23" s="149"/>
      <c r="D23" s="149"/>
      <c r="E23" s="149"/>
    </row>
    <row r="24" spans="1:5" x14ac:dyDescent="0.25">
      <c r="A24" s="149" t="s">
        <v>156</v>
      </c>
      <c r="B24" s="149"/>
      <c r="C24" s="149"/>
      <c r="D24" s="149"/>
      <c r="E24" s="149"/>
    </row>
    <row r="25" spans="1:5" x14ac:dyDescent="0.25">
      <c r="A25" s="149"/>
      <c r="B25" s="149"/>
      <c r="C25" s="149"/>
      <c r="D25" s="149"/>
      <c r="E25" s="149"/>
    </row>
    <row r="26" spans="1:5" x14ac:dyDescent="0.25">
      <c r="A26" s="149" t="s">
        <v>288</v>
      </c>
      <c r="B26" s="149"/>
      <c r="C26" s="149"/>
      <c r="D26" s="149"/>
      <c r="E26" s="149"/>
    </row>
    <row r="27" spans="1:5" x14ac:dyDescent="0.25">
      <c r="A27" s="149"/>
      <c r="B27" s="149"/>
      <c r="C27" s="149"/>
      <c r="D27" s="149"/>
      <c r="E27" s="149"/>
    </row>
    <row r="28" spans="1:5" ht="15.75" customHeight="1" x14ac:dyDescent="0.25">
      <c r="A28" s="149" t="s">
        <v>159</v>
      </c>
      <c r="B28" s="149"/>
      <c r="C28" s="149"/>
      <c r="D28" s="149"/>
      <c r="E28" s="149"/>
    </row>
    <row r="29" spans="1:5" x14ac:dyDescent="0.25">
      <c r="A29" s="149"/>
      <c r="B29" s="149"/>
      <c r="C29" s="149"/>
      <c r="D29" s="149"/>
      <c r="E29" s="149"/>
    </row>
    <row r="30" spans="1:5" x14ac:dyDescent="0.25">
      <c r="A30" s="149"/>
      <c r="B30" s="149"/>
      <c r="C30" s="149"/>
      <c r="D30" s="149"/>
      <c r="E30" s="149"/>
    </row>
    <row r="31" spans="1:5" ht="15.75" customHeight="1" x14ac:dyDescent="0.25">
      <c r="A31" s="149"/>
      <c r="B31" s="149"/>
      <c r="C31" s="149"/>
      <c r="D31" s="149"/>
      <c r="E31" s="149"/>
    </row>
    <row r="32" spans="1:5" x14ac:dyDescent="0.25">
      <c r="A32" s="149"/>
      <c r="B32" s="149"/>
      <c r="C32" s="149"/>
      <c r="D32" s="149"/>
      <c r="E32" s="149"/>
    </row>
    <row r="33" spans="1:5" x14ac:dyDescent="0.25">
      <c r="A33" s="23"/>
      <c r="B33" s="23"/>
      <c r="C33" s="23"/>
      <c r="D33" s="23"/>
    </row>
    <row r="34" spans="1:5" x14ac:dyDescent="0.25">
      <c r="A34" s="23"/>
      <c r="B34" s="49"/>
      <c r="C34" s="49"/>
      <c r="D34" s="49"/>
    </row>
    <row r="35" spans="1:5" x14ac:dyDescent="0.25">
      <c r="A35" s="23"/>
      <c r="B35" s="47"/>
      <c r="C35" s="47"/>
      <c r="D35" s="48"/>
    </row>
    <row r="36" spans="1:5" x14ac:dyDescent="0.25">
      <c r="A36" s="23"/>
      <c r="B36" s="47"/>
      <c r="C36" s="47"/>
      <c r="D36" s="48"/>
    </row>
    <row r="37" spans="1:5" x14ac:dyDescent="0.25">
      <c r="A37" s="23"/>
      <c r="B37" s="48"/>
      <c r="C37" s="48"/>
      <c r="D37" s="48"/>
    </row>
    <row r="38" spans="1:5" x14ac:dyDescent="0.25">
      <c r="A38" s="23"/>
      <c r="B38" s="49"/>
      <c r="C38" s="48"/>
      <c r="D38" s="48"/>
    </row>
    <row r="39" spans="1:5" ht="15.75" customHeight="1" x14ac:dyDescent="0.25">
      <c r="A39" s="149"/>
      <c r="B39" s="149"/>
      <c r="C39" s="149"/>
      <c r="D39" s="149"/>
      <c r="E39" s="149"/>
    </row>
    <row r="40" spans="1:5" x14ac:dyDescent="0.25">
      <c r="A40" s="149"/>
      <c r="B40" s="149"/>
      <c r="C40" s="149"/>
      <c r="D40" s="149"/>
      <c r="E40" s="149"/>
    </row>
    <row r="41" spans="1:5" x14ac:dyDescent="0.25">
      <c r="A41" s="149"/>
      <c r="B41" s="149"/>
      <c r="C41" s="149"/>
      <c r="D41" s="149"/>
      <c r="E41" s="149"/>
    </row>
  </sheetData>
  <mergeCells count="11">
    <mergeCell ref="A24:E25"/>
    <mergeCell ref="A26:E27"/>
    <mergeCell ref="A28:E30"/>
    <mergeCell ref="A31:E32"/>
    <mergeCell ref="A39:E41"/>
    <mergeCell ref="A22:E23"/>
    <mergeCell ref="A7:E7"/>
    <mergeCell ref="A8:E8"/>
    <mergeCell ref="A9:E9"/>
    <mergeCell ref="A11:E11"/>
    <mergeCell ref="A20:E21"/>
  </mergeCells>
  <printOptions horizontalCentered="1" verticalCentered="1"/>
  <pageMargins left="0.5" right="0.5" top="0.5" bottom="0.5" header="0.25" footer="0.25"/>
  <pageSetup orientation="portrait" r:id="rId1"/>
  <headerFooter>
    <oddFooter>&amp;C&amp;"Tw Cen MT,Regular"&amp;12&amp;P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7:O40"/>
  <sheetViews>
    <sheetView showGridLines="0" workbookViewId="0">
      <selection activeCell="A11" sqref="A11:F11"/>
    </sheetView>
  </sheetViews>
  <sheetFormatPr defaultRowHeight="15.75" x14ac:dyDescent="0.25"/>
  <cols>
    <col min="1" max="1" width="11.7109375" style="22" customWidth="1"/>
    <col min="2" max="2" width="19.140625" style="22" customWidth="1"/>
    <col min="3" max="6" width="18.7109375" style="22" customWidth="1"/>
    <col min="7" max="9" width="9.140625" style="22"/>
    <col min="10" max="10" width="40.28515625" style="22" bestFit="1" customWidth="1"/>
    <col min="11" max="15" width="18.7109375" style="22" customWidth="1"/>
    <col min="16" max="16384" width="9.140625" style="22"/>
  </cols>
  <sheetData>
    <row r="7" spans="1:15" ht="15.75" customHeight="1" x14ac:dyDescent="0.25">
      <c r="A7" s="146" t="s">
        <v>275</v>
      </c>
      <c r="B7" s="146"/>
      <c r="C7" s="146"/>
      <c r="D7" s="146"/>
      <c r="E7" s="146"/>
      <c r="F7" s="146"/>
    </row>
    <row r="8" spans="1:15" ht="15.75" customHeight="1" x14ac:dyDescent="0.25">
      <c r="A8" s="139" t="s">
        <v>276</v>
      </c>
      <c r="B8" s="139"/>
      <c r="C8" s="139"/>
      <c r="D8" s="139"/>
      <c r="E8" s="139"/>
      <c r="F8" s="139"/>
    </row>
    <row r="9" spans="1:15" x14ac:dyDescent="0.25">
      <c r="A9" s="147" t="s">
        <v>155</v>
      </c>
      <c r="B9" s="147"/>
      <c r="C9" s="147"/>
      <c r="D9" s="147"/>
      <c r="E9" s="147"/>
      <c r="F9" s="147"/>
    </row>
    <row r="10" spans="1:15" x14ac:dyDescent="0.25">
      <c r="A10" s="56"/>
      <c r="B10" s="56"/>
      <c r="C10" s="56"/>
      <c r="D10" s="56"/>
      <c r="E10" s="56"/>
      <c r="F10" s="56"/>
    </row>
    <row r="11" spans="1:15" ht="31.5" customHeight="1" x14ac:dyDescent="0.25">
      <c r="A11" s="148" t="s">
        <v>245</v>
      </c>
      <c r="B11" s="148"/>
      <c r="C11" s="148"/>
      <c r="D11" s="148"/>
      <c r="E11" s="148"/>
      <c r="F11" s="148"/>
    </row>
    <row r="12" spans="1:15" x14ac:dyDescent="0.25">
      <c r="E12" s="35"/>
    </row>
    <row r="13" spans="1:15" ht="19.5" customHeight="1" x14ac:dyDescent="0.25">
      <c r="A13" s="25" t="s">
        <v>246</v>
      </c>
      <c r="B13" s="25"/>
      <c r="C13" s="26"/>
      <c r="D13" s="26"/>
      <c r="E13" s="26"/>
      <c r="F13" s="26"/>
      <c r="J13" s="46" t="s">
        <v>249</v>
      </c>
    </row>
    <row r="14" spans="1:15" ht="31.5" customHeight="1" x14ac:dyDescent="0.25">
      <c r="A14" s="31" t="s">
        <v>238</v>
      </c>
      <c r="B14" s="31" t="s">
        <v>218</v>
      </c>
      <c r="C14" s="37" t="s">
        <v>157</v>
      </c>
      <c r="D14" s="37" t="s">
        <v>146</v>
      </c>
      <c r="E14" s="37" t="s">
        <v>135</v>
      </c>
      <c r="F14" s="37" t="s">
        <v>138</v>
      </c>
      <c r="K14" s="23" t="s">
        <v>212</v>
      </c>
      <c r="L14" s="23" t="s">
        <v>213</v>
      </c>
      <c r="M14" s="23" t="s">
        <v>214</v>
      </c>
      <c r="N14" s="23" t="s">
        <v>215</v>
      </c>
      <c r="O14" s="23" t="s">
        <v>220</v>
      </c>
    </row>
    <row r="15" spans="1:15" x14ac:dyDescent="0.25">
      <c r="A15" s="22" t="s">
        <v>212</v>
      </c>
      <c r="B15" s="22" t="s">
        <v>216</v>
      </c>
      <c r="C15" s="23">
        <f>COUNTIFS('Data-Projects'!Z3:Z53,"1")</f>
        <v>3</v>
      </c>
      <c r="D15" s="24">
        <f>C15/$C$20</f>
        <v>5.8823529411764705E-2</v>
      </c>
      <c r="E15" s="29">
        <f>SUMIFS('Data-Projects'!H3:H53,'Data-Projects'!Z3:Z53,"1")</f>
        <v>226.8</v>
      </c>
      <c r="F15" s="24">
        <f>E15/$E$20</f>
        <v>0.10840781989388654</v>
      </c>
      <c r="J15" s="22" t="s">
        <v>221</v>
      </c>
      <c r="K15" s="24">
        <f>D15</f>
        <v>5.8823529411764705E-2</v>
      </c>
      <c r="L15" s="24">
        <f>D16</f>
        <v>0.15686274509803921</v>
      </c>
      <c r="M15" s="24">
        <f>D17</f>
        <v>0.27450980392156865</v>
      </c>
      <c r="N15" s="24">
        <f>D18</f>
        <v>0.49019607843137253</v>
      </c>
      <c r="O15" s="24">
        <f>D19</f>
        <v>1.9607843137254902E-2</v>
      </c>
    </row>
    <row r="16" spans="1:15" x14ac:dyDescent="0.25">
      <c r="A16" s="22" t="s">
        <v>213</v>
      </c>
      <c r="B16" s="22" t="s">
        <v>217</v>
      </c>
      <c r="C16" s="23">
        <f>COUNTIFS('Data-Projects'!Z3:Z53,"2")</f>
        <v>8</v>
      </c>
      <c r="D16" s="24">
        <f t="shared" ref="D16:D19" si="0">C16/$C$20</f>
        <v>0.15686274509803921</v>
      </c>
      <c r="E16" s="29">
        <f>SUMIFS('Data-Projects'!H3:H53,'Data-Projects'!Z3:Z53,"2")</f>
        <v>804</v>
      </c>
      <c r="F16" s="24">
        <f t="shared" ref="F16:F19" si="1">E16/$E$20</f>
        <v>0.38430285359208455</v>
      </c>
      <c r="J16" s="22" t="s">
        <v>222</v>
      </c>
      <c r="K16" s="24">
        <f>D25</f>
        <v>0.15686274509803921</v>
      </c>
      <c r="L16" s="24">
        <f>D26</f>
        <v>5.8823529411764705E-2</v>
      </c>
      <c r="M16" s="24">
        <f>D27</f>
        <v>0.49019607843137253</v>
      </c>
      <c r="N16" s="24">
        <f>D28</f>
        <v>0.27450980392156865</v>
      </c>
      <c r="O16" s="24">
        <f>D29</f>
        <v>1.9607843137254902E-2</v>
      </c>
    </row>
    <row r="17" spans="1:15" x14ac:dyDescent="0.25">
      <c r="A17" s="32" t="s">
        <v>214</v>
      </c>
      <c r="B17" s="32" t="s">
        <v>224</v>
      </c>
      <c r="C17" s="33">
        <f>COUNTIFS('Data-Projects'!Z3:Z53,"3")</f>
        <v>14</v>
      </c>
      <c r="D17" s="24">
        <f t="shared" si="0"/>
        <v>0.27450980392156865</v>
      </c>
      <c r="E17" s="34">
        <f>SUMIFS('Data-Projects'!H3:H53,'Data-Projects'!Z3:Z53,"3")</f>
        <v>351.00000000000006</v>
      </c>
      <c r="F17" s="24">
        <f t="shared" si="1"/>
        <v>0.16777400697863395</v>
      </c>
      <c r="J17" s="22" t="s">
        <v>223</v>
      </c>
      <c r="K17" s="24">
        <f>D35</f>
        <v>1.9607843137254902E-2</v>
      </c>
      <c r="L17" s="24">
        <f>D36</f>
        <v>5.8823529411764705E-2</v>
      </c>
      <c r="M17" s="24">
        <f>D37</f>
        <v>0.27450980392156865</v>
      </c>
      <c r="N17" s="24">
        <f>D38</f>
        <v>0.15686274509803921</v>
      </c>
      <c r="O17" s="24">
        <f>D39</f>
        <v>0.49019607843137253</v>
      </c>
    </row>
    <row r="18" spans="1:15" x14ac:dyDescent="0.25">
      <c r="A18" s="32" t="s">
        <v>215</v>
      </c>
      <c r="B18" s="32" t="s">
        <v>219</v>
      </c>
      <c r="C18" s="33">
        <f>COUNTIFS('Data-Projects'!Z3:Z53,"4")</f>
        <v>25</v>
      </c>
      <c r="D18" s="24">
        <f t="shared" si="0"/>
        <v>0.49019607843137253</v>
      </c>
      <c r="E18" s="34">
        <f>SUMIFS('Data-Projects'!H3:H53,'Data-Projects'!Z3:Z53,"4")</f>
        <v>519.70000000000005</v>
      </c>
      <c r="F18" s="24">
        <f t="shared" si="1"/>
        <v>0.24841068782562978</v>
      </c>
      <c r="K18" s="24"/>
      <c r="L18" s="24"/>
      <c r="M18" s="24"/>
      <c r="N18" s="24"/>
    </row>
    <row r="19" spans="1:15" x14ac:dyDescent="0.25">
      <c r="A19" s="26" t="s">
        <v>220</v>
      </c>
      <c r="B19" s="26" t="s">
        <v>274</v>
      </c>
      <c r="C19" s="27">
        <f>COUNTIFS('Data-Projects'!Z3:Z53,"5")</f>
        <v>1</v>
      </c>
      <c r="D19" s="24">
        <f t="shared" si="0"/>
        <v>1.9607843137254902E-2</v>
      </c>
      <c r="E19" s="30">
        <f>SUMIFS('Data-Projects'!H3:H53,'Data-Projects'!Z3:Z53,"5")</f>
        <v>190.6</v>
      </c>
      <c r="F19" s="28">
        <f t="shared" si="1"/>
        <v>9.1104631709765307E-2</v>
      </c>
      <c r="K19" s="24"/>
      <c r="L19" s="24"/>
      <c r="M19" s="24"/>
      <c r="N19" s="24"/>
    </row>
    <row r="20" spans="1:15" ht="19.5" customHeight="1" x14ac:dyDescent="0.25">
      <c r="A20" s="38" t="s">
        <v>134</v>
      </c>
      <c r="B20" s="38"/>
      <c r="C20" s="39">
        <f>SUM(C15:C19)</f>
        <v>51</v>
      </c>
      <c r="D20" s="40">
        <f>SUM(D15:D19)</f>
        <v>1</v>
      </c>
      <c r="E20" s="41">
        <f>SUM(E15:E19)</f>
        <v>2092.1</v>
      </c>
      <c r="F20" s="40">
        <f>SUM(F15:F19)</f>
        <v>1.0000000000000002</v>
      </c>
    </row>
    <row r="23" spans="1:15" x14ac:dyDescent="0.25">
      <c r="A23" s="25" t="s">
        <v>247</v>
      </c>
      <c r="B23" s="25"/>
      <c r="C23" s="26"/>
      <c r="D23" s="26"/>
      <c r="E23" s="26"/>
      <c r="F23" s="26"/>
      <c r="J23" s="46" t="s">
        <v>250</v>
      </c>
    </row>
    <row r="24" spans="1:15" ht="31.5" x14ac:dyDescent="0.25">
      <c r="A24" s="31" t="s">
        <v>238</v>
      </c>
      <c r="B24" s="31" t="s">
        <v>218</v>
      </c>
      <c r="C24" s="37" t="s">
        <v>157</v>
      </c>
      <c r="D24" s="37" t="s">
        <v>146</v>
      </c>
      <c r="E24" s="37" t="s">
        <v>135</v>
      </c>
      <c r="F24" s="37" t="s">
        <v>138</v>
      </c>
      <c r="K24" s="23" t="s">
        <v>212</v>
      </c>
      <c r="L24" s="23" t="s">
        <v>213</v>
      </c>
      <c r="M24" s="23" t="s">
        <v>214</v>
      </c>
      <c r="N24" s="23" t="s">
        <v>215</v>
      </c>
      <c r="O24" s="23" t="s">
        <v>220</v>
      </c>
    </row>
    <row r="25" spans="1:15" x14ac:dyDescent="0.25">
      <c r="A25" s="22" t="s">
        <v>212</v>
      </c>
      <c r="B25" s="22" t="s">
        <v>217</v>
      </c>
      <c r="C25" s="23">
        <f>COUNTIFS('Data-Projects'!AA3:AA53,"1")</f>
        <v>8</v>
      </c>
      <c r="D25" s="24">
        <f>C25/$C$30</f>
        <v>0.15686274509803921</v>
      </c>
      <c r="E25" s="29">
        <f>SUMIFS('Data-Projects'!H3:H53,'Data-Projects'!AA3:AA53,"1")</f>
        <v>804</v>
      </c>
      <c r="F25" s="24">
        <f>E25/$E$30</f>
        <v>0.38430285359208455</v>
      </c>
      <c r="J25" s="22" t="s">
        <v>221</v>
      </c>
      <c r="K25" s="24">
        <f>F15</f>
        <v>0.10840781989388654</v>
      </c>
      <c r="L25" s="24">
        <f>F16</f>
        <v>0.38430285359208455</v>
      </c>
      <c r="M25" s="24">
        <f>F17</f>
        <v>0.16777400697863395</v>
      </c>
      <c r="N25" s="24">
        <f>F18</f>
        <v>0.24841068782562978</v>
      </c>
      <c r="O25" s="24">
        <f>F19</f>
        <v>9.1104631709765307E-2</v>
      </c>
    </row>
    <row r="26" spans="1:15" x14ac:dyDescent="0.25">
      <c r="A26" s="22" t="s">
        <v>213</v>
      </c>
      <c r="B26" s="22" t="s">
        <v>216</v>
      </c>
      <c r="C26" s="23">
        <f>COUNTIFS('Data-Projects'!AA3:AA53,"2")</f>
        <v>3</v>
      </c>
      <c r="D26" s="24">
        <f>C26/$C$30</f>
        <v>5.8823529411764705E-2</v>
      </c>
      <c r="E26" s="29">
        <f>SUMIFS('Data-Projects'!H3:H53,'Data-Projects'!AA3:AA53,"2")</f>
        <v>226.8</v>
      </c>
      <c r="F26" s="24">
        <f>E26/$E$30</f>
        <v>0.10840781989388654</v>
      </c>
      <c r="J26" s="22" t="s">
        <v>222</v>
      </c>
      <c r="K26" s="24">
        <f>F25</f>
        <v>0.38430285359208455</v>
      </c>
      <c r="L26" s="24">
        <f>F26</f>
        <v>0.10840781989388654</v>
      </c>
      <c r="M26" s="24">
        <f>F27</f>
        <v>0.24841068782562978</v>
      </c>
      <c r="N26" s="24">
        <f>F28</f>
        <v>0.16777400697863395</v>
      </c>
      <c r="O26" s="24">
        <f>F29</f>
        <v>9.1104631709765307E-2</v>
      </c>
    </row>
    <row r="27" spans="1:15" x14ac:dyDescent="0.25">
      <c r="A27" s="22" t="s">
        <v>214</v>
      </c>
      <c r="B27" s="32" t="s">
        <v>219</v>
      </c>
      <c r="C27" s="23">
        <f>COUNTIFS('Data-Projects'!AA3:AA53,"3")</f>
        <v>25</v>
      </c>
      <c r="D27" s="24">
        <f>C27/$C$30</f>
        <v>0.49019607843137253</v>
      </c>
      <c r="E27" s="29">
        <f>SUMIFS('Data-Projects'!H3:H53,'Data-Projects'!AA3:AA53,"3")</f>
        <v>519.70000000000005</v>
      </c>
      <c r="F27" s="24">
        <f>E27/$E$30</f>
        <v>0.24841068782562978</v>
      </c>
      <c r="J27" s="22" t="s">
        <v>223</v>
      </c>
      <c r="K27" s="24">
        <f>F35</f>
        <v>9.1104631709765307E-2</v>
      </c>
      <c r="L27" s="24">
        <f>F36</f>
        <v>0.10840781989388654</v>
      </c>
      <c r="M27" s="24">
        <f>F37</f>
        <v>0.16777400697863395</v>
      </c>
      <c r="N27" s="24">
        <f>F38</f>
        <v>0.38430285359208455</v>
      </c>
      <c r="O27" s="24">
        <f>F39</f>
        <v>0.24841068782562978</v>
      </c>
    </row>
    <row r="28" spans="1:15" x14ac:dyDescent="0.25">
      <c r="A28" s="32" t="s">
        <v>215</v>
      </c>
      <c r="B28" s="32" t="s">
        <v>224</v>
      </c>
      <c r="C28" s="33">
        <f>COUNTIFS('Data-Projects'!AA3:AA53,"4")</f>
        <v>14</v>
      </c>
      <c r="D28" s="24">
        <f>C28/$C$30</f>
        <v>0.27450980392156865</v>
      </c>
      <c r="E28" s="34">
        <f>SUMIFS('Data-Projects'!H3:H53,'Data-Projects'!AA3:AA53,"4")</f>
        <v>351.00000000000006</v>
      </c>
      <c r="F28" s="24">
        <f>E28/$E$30</f>
        <v>0.16777400697863395</v>
      </c>
    </row>
    <row r="29" spans="1:15" x14ac:dyDescent="0.25">
      <c r="A29" s="26" t="s">
        <v>220</v>
      </c>
      <c r="B29" s="32" t="s">
        <v>274</v>
      </c>
      <c r="C29" s="27">
        <f>COUNTIFS('Data-Projects'!AA3:AA53,"5")</f>
        <v>1</v>
      </c>
      <c r="D29" s="24">
        <f>C29/$C$30</f>
        <v>1.9607843137254902E-2</v>
      </c>
      <c r="E29" s="30">
        <f>SUMIFS('Data-Projects'!H3:H53,'Data-Projects'!AA3:AA53,"5")</f>
        <v>190.6</v>
      </c>
      <c r="F29" s="28">
        <f>E29/$E$30</f>
        <v>9.1104631709765307E-2</v>
      </c>
    </row>
    <row r="30" spans="1:15" x14ac:dyDescent="0.25">
      <c r="A30" s="38" t="s">
        <v>134</v>
      </c>
      <c r="B30" s="38"/>
      <c r="C30" s="39">
        <f>SUM(C25:C29)</f>
        <v>51</v>
      </c>
      <c r="D30" s="40">
        <f>SUM(D25:D29)</f>
        <v>1</v>
      </c>
      <c r="E30" s="41">
        <f>SUM(E25:E29)</f>
        <v>2092.1</v>
      </c>
      <c r="F30" s="40">
        <f>SUM(F25:F29)</f>
        <v>1.0000000000000002</v>
      </c>
    </row>
    <row r="33" spans="1:15" x14ac:dyDescent="0.25">
      <c r="A33" s="25" t="s">
        <v>248</v>
      </c>
      <c r="B33" s="25"/>
      <c r="C33" s="26"/>
      <c r="D33" s="26"/>
      <c r="E33" s="26"/>
      <c r="F33" s="26"/>
    </row>
    <row r="34" spans="1:15" ht="31.5" x14ac:dyDescent="0.25">
      <c r="A34" s="31" t="s">
        <v>238</v>
      </c>
      <c r="B34" s="31" t="s">
        <v>218</v>
      </c>
      <c r="C34" s="37" t="s">
        <v>157</v>
      </c>
      <c r="D34" s="37" t="s">
        <v>146</v>
      </c>
      <c r="E34" s="37" t="s">
        <v>135</v>
      </c>
      <c r="F34" s="37" t="s">
        <v>138</v>
      </c>
      <c r="K34" s="23" t="s">
        <v>212</v>
      </c>
      <c r="L34" s="23" t="s">
        <v>213</v>
      </c>
      <c r="M34" s="23" t="s">
        <v>214</v>
      </c>
      <c r="N34" s="23" t="s">
        <v>215</v>
      </c>
      <c r="O34" s="23" t="s">
        <v>220</v>
      </c>
    </row>
    <row r="35" spans="1:15" x14ac:dyDescent="0.25">
      <c r="A35" s="22" t="s">
        <v>212</v>
      </c>
      <c r="B35" s="22" t="s">
        <v>274</v>
      </c>
      <c r="C35" s="23">
        <f>COUNTIFS('Data-Projects'!AB3:AB53,"1")</f>
        <v>1</v>
      </c>
      <c r="D35" s="24">
        <f>C35/$C$30</f>
        <v>1.9607843137254902E-2</v>
      </c>
      <c r="E35" s="29">
        <f>SUMIFS('Data-Projects'!H3:H53,'Data-Projects'!AB3:AB53,"1")</f>
        <v>190.6</v>
      </c>
      <c r="F35" s="24">
        <f>E35/$E$30</f>
        <v>9.1104631709765307E-2</v>
      </c>
      <c r="J35" s="22" t="s">
        <v>221</v>
      </c>
      <c r="K35" s="22" t="s">
        <v>216</v>
      </c>
      <c r="L35" s="22" t="s">
        <v>217</v>
      </c>
      <c r="M35" s="22" t="s">
        <v>224</v>
      </c>
      <c r="N35" s="22" t="s">
        <v>219</v>
      </c>
      <c r="O35" s="22" t="s">
        <v>283</v>
      </c>
    </row>
    <row r="36" spans="1:15" x14ac:dyDescent="0.25">
      <c r="A36" s="22" t="s">
        <v>213</v>
      </c>
      <c r="B36" s="22" t="s">
        <v>216</v>
      </c>
      <c r="C36" s="23">
        <f>COUNTIFS('Data-Projects'!AB3:AB53,"2")</f>
        <v>3</v>
      </c>
      <c r="D36" s="24">
        <f>C36/$C$30</f>
        <v>5.8823529411764705E-2</v>
      </c>
      <c r="E36" s="29">
        <f>SUMIFS('Data-Projects'!H3:H53,'Data-Projects'!AB3:AB53,"2")</f>
        <v>226.8</v>
      </c>
      <c r="F36" s="24">
        <f>E36/$E$30</f>
        <v>0.10840781989388654</v>
      </c>
      <c r="J36" s="22" t="s">
        <v>222</v>
      </c>
      <c r="K36" s="22" t="s">
        <v>217</v>
      </c>
      <c r="L36" s="22" t="s">
        <v>216</v>
      </c>
      <c r="M36" s="22" t="s">
        <v>219</v>
      </c>
      <c r="N36" s="22" t="s">
        <v>224</v>
      </c>
      <c r="O36" s="22" t="s">
        <v>283</v>
      </c>
    </row>
    <row r="37" spans="1:15" x14ac:dyDescent="0.25">
      <c r="A37" s="32" t="s">
        <v>214</v>
      </c>
      <c r="B37" s="22" t="s">
        <v>224</v>
      </c>
      <c r="C37" s="23">
        <f>COUNTIFS('Data-Projects'!AB3:AB53,"3")</f>
        <v>14</v>
      </c>
      <c r="D37" s="24">
        <f>C37/$C$30</f>
        <v>0.27450980392156865</v>
      </c>
      <c r="E37" s="29">
        <f>SUMIFS('Data-Projects'!H3:H53,'Data-Projects'!AB3:AB53,"3")</f>
        <v>351.00000000000006</v>
      </c>
      <c r="F37" s="24">
        <f>E37/$E$30</f>
        <v>0.16777400697863395</v>
      </c>
      <c r="J37" s="22" t="s">
        <v>223</v>
      </c>
      <c r="K37" s="22" t="s">
        <v>283</v>
      </c>
      <c r="L37" s="22" t="s">
        <v>216</v>
      </c>
      <c r="M37" s="22" t="s">
        <v>224</v>
      </c>
      <c r="N37" s="22" t="s">
        <v>217</v>
      </c>
      <c r="O37" s="22" t="s">
        <v>219</v>
      </c>
    </row>
    <row r="38" spans="1:15" x14ac:dyDescent="0.25">
      <c r="A38" s="32" t="s">
        <v>215</v>
      </c>
      <c r="B38" s="32" t="s">
        <v>217</v>
      </c>
      <c r="C38" s="33">
        <f>COUNTIFS('Data-Projects'!AB3:AB53,"4")</f>
        <v>8</v>
      </c>
      <c r="D38" s="24">
        <f>C38/$C$30</f>
        <v>0.15686274509803921</v>
      </c>
      <c r="E38" s="34">
        <f>SUMIFS('Data-Projects'!H3:H53,'Data-Projects'!AB3:AB53,"4")</f>
        <v>804</v>
      </c>
      <c r="F38" s="24">
        <f>E38/$E$30</f>
        <v>0.38430285359208455</v>
      </c>
    </row>
    <row r="39" spans="1:15" x14ac:dyDescent="0.25">
      <c r="A39" s="22" t="s">
        <v>220</v>
      </c>
      <c r="B39" s="32" t="s">
        <v>219</v>
      </c>
      <c r="C39" s="27">
        <f>COUNTIFS('Data-Projects'!AB3:AB53,"5")</f>
        <v>25</v>
      </c>
      <c r="D39" s="24">
        <f>C39/$C$30</f>
        <v>0.49019607843137253</v>
      </c>
      <c r="E39" s="30">
        <f>SUMIFS('Data-Projects'!H3:H53,'Data-Projects'!AB3:AB53,"5")</f>
        <v>519.70000000000005</v>
      </c>
      <c r="F39" s="28">
        <f>E39/$E$30</f>
        <v>0.24841068782562978</v>
      </c>
    </row>
    <row r="40" spans="1:15" x14ac:dyDescent="0.25">
      <c r="A40" s="38" t="s">
        <v>134</v>
      </c>
      <c r="B40" s="38"/>
      <c r="C40" s="39">
        <f>SUM(C35:C39)</f>
        <v>51</v>
      </c>
      <c r="D40" s="40">
        <f>SUM(D35:D39)</f>
        <v>1</v>
      </c>
      <c r="E40" s="41">
        <f>SUM(E35:E39)</f>
        <v>2092.1000000000004</v>
      </c>
      <c r="F40" s="40">
        <f>SUM(F35:F39)</f>
        <v>1.0000000000000002</v>
      </c>
    </row>
  </sheetData>
  <mergeCells count="4">
    <mergeCell ref="A7:F7"/>
    <mergeCell ref="A8:F8"/>
    <mergeCell ref="A9:F9"/>
    <mergeCell ref="A11:F11"/>
  </mergeCells>
  <printOptions horizontalCentered="1"/>
  <pageMargins left="0.5" right="0.5" top="0.5" bottom="0.5" header="0.25" footer="0.25"/>
  <pageSetup scale="90" orientation="portrait" r:id="rId1"/>
  <headerFooter>
    <oddFooter>&amp;C&amp;"Tw Cen MT,Regular"&amp;12&amp;P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34" baseType="lpstr">
      <vt:lpstr>Data-Projects</vt:lpstr>
      <vt:lpstr>Data-Projects-Table</vt:lpstr>
      <vt:lpstr>Data-Projects-Comments</vt:lpstr>
      <vt:lpstr>Analysis-Trans2035</vt:lpstr>
      <vt:lpstr>Analysis-OtherPlans</vt:lpstr>
      <vt:lpstr>Analysis-Transit-ProDev</vt:lpstr>
      <vt:lpstr>Analysis-RoadwayImpact</vt:lpstr>
      <vt:lpstr>Analysis-EJ</vt:lpstr>
      <vt:lpstr>Analysis-Goals</vt:lpstr>
      <vt:lpstr>Analysis-ByType-All</vt:lpstr>
      <vt:lpstr>Analysis-ByPeriod-All</vt:lpstr>
      <vt:lpstr>Chart-Trans2035-Projects</vt:lpstr>
      <vt:lpstr>Chart-OtherPlans-Projects</vt:lpstr>
      <vt:lpstr>Chart-TransitProjDev</vt:lpstr>
      <vt:lpstr>Chart-RoadwayImpact-02</vt:lpstr>
      <vt:lpstr>Chart-RoadwayImpact-03</vt:lpstr>
      <vt:lpstr>Chart-EJ</vt:lpstr>
      <vt:lpstr>Chart-Goals-Investment</vt:lpstr>
      <vt:lpstr>Chart-ByType-All</vt:lpstr>
      <vt:lpstr>Chart-OtherPlans-Invest</vt:lpstr>
      <vt:lpstr>Chart-Trans2035-Invest</vt:lpstr>
      <vt:lpstr>Chart-Goals-Projects</vt:lpstr>
      <vt:lpstr>Chart-RoadwayImpact-01</vt:lpstr>
      <vt:lpstr>'Analysis-ByPeriod-All'!Print_Area</vt:lpstr>
      <vt:lpstr>'Analysis-ByType-All'!Print_Area</vt:lpstr>
      <vt:lpstr>'Analysis-EJ'!Print_Area</vt:lpstr>
      <vt:lpstr>'Analysis-Goals'!Print_Area</vt:lpstr>
      <vt:lpstr>'Analysis-OtherPlans'!Print_Area</vt:lpstr>
      <vt:lpstr>'Analysis-RoadwayImpact'!Print_Area</vt:lpstr>
      <vt:lpstr>'Analysis-Trans2035'!Print_Area</vt:lpstr>
      <vt:lpstr>'Analysis-Transit-ProDev'!Print_Area</vt:lpstr>
      <vt:lpstr>'Data-Projects'!Print_Area</vt:lpstr>
      <vt:lpstr>'Data-Projects-Comments'!Print_Area</vt:lpstr>
      <vt:lpstr>'Data-Projects-Table'!Print_Area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Anderson</dc:creator>
  <cp:lastModifiedBy>Angie Caple</cp:lastModifiedBy>
  <cp:lastPrinted>2014-08-26T17:50:49Z</cp:lastPrinted>
  <dcterms:created xsi:type="dcterms:W3CDTF">2014-02-12T16:46:49Z</dcterms:created>
  <dcterms:modified xsi:type="dcterms:W3CDTF">2016-01-26T17:38:02Z</dcterms:modified>
</cp:coreProperties>
</file>